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Sep 9th 2025\NEW FILES ONLY - 3_LA County_LB_636 N Locust Ave\"/>
    </mc:Choice>
  </mc:AlternateContent>
  <xr:revisionPtr revIDLastSave="0" documentId="13_ncr:1_{A0EDC298-C8C2-40BC-B870-6A7CB4E44409}" xr6:coauthVersionLast="47" xr6:coauthVersionMax="47" xr10:uidLastSave="{00000000-0000-0000-0000-000000000000}"/>
  <bookViews>
    <workbookView xWindow="-120" yWindow="-120" windowWidth="29040" windowHeight="175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90" i="20" l="1"/>
  <c r="AD411" i="3"/>
  <c r="G73" i="21"/>
  <c r="H763" i="20"/>
  <c r="H751" i="20"/>
  <c r="H709" i="20"/>
  <c r="H685" i="20"/>
  <c r="H650" i="20"/>
  <c r="H638" i="20"/>
  <c r="C302" i="20"/>
  <c r="C292" i="20"/>
  <c r="B199" i="20"/>
  <c r="B188" i="20"/>
  <c r="B150" i="20"/>
  <c r="C103" i="4"/>
  <c r="C102" i="4"/>
  <c r="C101" i="4"/>
  <c r="C100" i="4"/>
  <c r="S65" i="4"/>
  <c r="C95" i="4"/>
  <c r="C94" i="4"/>
  <c r="C93" i="4"/>
  <c r="C92" i="4"/>
  <c r="C91" i="4"/>
  <c r="C90" i="4"/>
  <c r="C89" i="4"/>
  <c r="C84" i="4"/>
  <c r="C76" i="4"/>
  <c r="A76" i="4"/>
  <c r="C74" i="4"/>
  <c r="C73" i="4"/>
  <c r="C72" i="4"/>
  <c r="C69" i="4"/>
  <c r="A69" i="4"/>
  <c r="C68" i="4"/>
  <c r="C67" i="4"/>
  <c r="C66" i="4"/>
  <c r="C65" i="4"/>
  <c r="C61" i="4"/>
  <c r="A61" i="4"/>
  <c r="C60" i="4"/>
  <c r="C59" i="4"/>
  <c r="C58" i="4"/>
  <c r="C57" i="4"/>
  <c r="C53" i="4"/>
  <c r="A53" i="4"/>
  <c r="C50" i="4"/>
  <c r="C47" i="4"/>
  <c r="C43" i="4"/>
  <c r="C41" i="4"/>
  <c r="C40" i="4"/>
  <c r="A37" i="4"/>
  <c r="C35" i="4"/>
  <c r="F35" i="4" s="1"/>
  <c r="C34" i="4"/>
  <c r="F34" i="4" s="1"/>
  <c r="C29" i="4"/>
  <c r="C15" i="4"/>
  <c r="C14" i="4"/>
  <c r="C13" i="4"/>
  <c r="C10" i="4"/>
  <c r="C9" i="4"/>
  <c r="C7" i="4"/>
  <c r="C5" i="4"/>
  <c r="C4" i="4"/>
  <c r="I950" i="3"/>
  <c r="I949" i="3"/>
  <c r="C895" i="3"/>
  <c r="C894" i="3"/>
  <c r="AC895" i="3"/>
  <c r="AC894" i="3"/>
  <c r="AC893" i="3"/>
  <c r="AC887" i="3"/>
  <c r="M878" i="3"/>
  <c r="M877" i="3"/>
  <c r="M876" i="3"/>
  <c r="M875" i="3"/>
  <c r="M874" i="3"/>
  <c r="M871" i="3"/>
  <c r="M861" i="3"/>
  <c r="T860" i="3"/>
  <c r="M846" i="3"/>
  <c r="W878" i="3"/>
  <c r="W876" i="3"/>
  <c r="W875" i="3"/>
  <c r="W874" i="3"/>
  <c r="W870" i="3"/>
  <c r="W869" i="3"/>
  <c r="W868" i="3"/>
  <c r="W865" i="3"/>
  <c r="W861" i="3"/>
  <c r="W859" i="3"/>
  <c r="W857" i="3"/>
  <c r="W852"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X776" i="3"/>
  <c r="X774" i="3"/>
  <c r="O776" i="3"/>
  <c r="O774" i="3"/>
  <c r="J776" i="3"/>
  <c r="J775" i="3"/>
  <c r="J774" i="3"/>
  <c r="J773" i="3"/>
  <c r="K741" i="3"/>
  <c r="K740" i="3"/>
  <c r="K739" i="3"/>
  <c r="K738" i="3"/>
  <c r="K737" i="3"/>
  <c r="K736" i="3"/>
  <c r="K735" i="3"/>
  <c r="K734" i="3"/>
  <c r="K733" i="3"/>
  <c r="K732" i="3"/>
  <c r="K731" i="3"/>
  <c r="K729" i="3"/>
  <c r="K728" i="3"/>
  <c r="K727" i="3"/>
  <c r="K726" i="3"/>
  <c r="K725" i="3"/>
  <c r="K724" i="3"/>
  <c r="K723" i="3"/>
  <c r="K722" i="3"/>
  <c r="K721" i="3"/>
  <c r="K720" i="3"/>
  <c r="K719" i="3"/>
  <c r="K718" i="3"/>
  <c r="G741" i="3"/>
  <c r="G740" i="3"/>
  <c r="G738" i="3"/>
  <c r="G737" i="3"/>
  <c r="AC737" i="3" s="1"/>
  <c r="G736" i="3"/>
  <c r="AC736" i="3" s="1"/>
  <c r="G735" i="3"/>
  <c r="AC735" i="3" s="1"/>
  <c r="G734" i="3"/>
  <c r="AC734" i="3" s="1"/>
  <c r="G732" i="3"/>
  <c r="G731" i="3"/>
  <c r="G729" i="3"/>
  <c r="G728" i="3"/>
  <c r="AC728" i="3" s="1"/>
  <c r="G725" i="3"/>
  <c r="AC725" i="3" s="1"/>
  <c r="G724" i="3"/>
  <c r="T724" i="3" s="1"/>
  <c r="G723" i="3"/>
  <c r="T723" i="3" s="1"/>
  <c r="G722" i="3"/>
  <c r="AC722" i="3" s="1"/>
  <c r="G721" i="3"/>
  <c r="AC721" i="3" s="1"/>
  <c r="G719" i="3"/>
  <c r="B741" i="3"/>
  <c r="B740" i="3"/>
  <c r="B739" i="3"/>
  <c r="B738" i="3"/>
  <c r="B737" i="3"/>
  <c r="B736" i="3"/>
  <c r="B735" i="3"/>
  <c r="B734" i="3"/>
  <c r="B733" i="3"/>
  <c r="B732" i="3"/>
  <c r="B731" i="3"/>
  <c r="B730" i="3"/>
  <c r="B729" i="3"/>
  <c r="B728" i="3"/>
  <c r="B727" i="3"/>
  <c r="B726" i="3"/>
  <c r="B725" i="3"/>
  <c r="B724" i="3"/>
  <c r="B723" i="3"/>
  <c r="B722" i="3"/>
  <c r="B721" i="3"/>
  <c r="B720" i="3"/>
  <c r="B719" i="3"/>
  <c r="B718"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2" i="3"/>
  <c r="AO631" i="3"/>
  <c r="Z631" i="3" s="1"/>
  <c r="AO630" i="3"/>
  <c r="M630" i="3" s="1"/>
  <c r="AO628" i="3"/>
  <c r="AK627" i="3"/>
  <c r="W638" i="3"/>
  <c r="T638" i="3"/>
  <c r="Q638" i="3"/>
  <c r="W637" i="3"/>
  <c r="T637" i="3"/>
  <c r="Q637" i="3"/>
  <c r="W636" i="3"/>
  <c r="T636" i="3"/>
  <c r="Q636" i="3"/>
  <c r="W635" i="3"/>
  <c r="T635" i="3"/>
  <c r="Q635" i="3"/>
  <c r="W634" i="3"/>
  <c r="T634" i="3"/>
  <c r="Q634" i="3"/>
  <c r="W633" i="3"/>
  <c r="T633" i="3"/>
  <c r="Q633" i="3"/>
  <c r="W632" i="3"/>
  <c r="T632" i="3"/>
  <c r="Q632" i="3"/>
  <c r="T631" i="3"/>
  <c r="T630" i="3"/>
  <c r="Z629" i="3"/>
  <c r="W629" i="3"/>
  <c r="T629" i="3"/>
  <c r="Q629" i="3"/>
  <c r="Z628" i="3"/>
  <c r="W628" i="3"/>
  <c r="T628" i="3"/>
  <c r="Q628" i="3"/>
  <c r="Z627" i="3"/>
  <c r="W627" i="3"/>
  <c r="T627" i="3"/>
  <c r="Q627" i="3"/>
  <c r="C638" i="3"/>
  <c r="C637" i="3"/>
  <c r="C636" i="3"/>
  <c r="C635" i="3"/>
  <c r="C634" i="3"/>
  <c r="C633" i="3"/>
  <c r="C632"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Q561" i="3" s="1"/>
  <c r="AM560" i="3"/>
  <c r="Q560" i="3" s="1"/>
  <c r="Z565" i="3"/>
  <c r="W565" i="3"/>
  <c r="Z564" i="3"/>
  <c r="W564" i="3"/>
  <c r="Z563" i="3"/>
  <c r="W563" i="3"/>
  <c r="Z562" i="3"/>
  <c r="W562" i="3"/>
  <c r="Z561" i="3"/>
  <c r="Z560" i="3"/>
  <c r="Z559" i="3"/>
  <c r="W559" i="3"/>
  <c r="Z558" i="3"/>
  <c r="W558" i="3"/>
  <c r="Z557" i="3"/>
  <c r="W557" i="3"/>
  <c r="Z556" i="3"/>
  <c r="W556" i="3"/>
  <c r="Z555" i="3"/>
  <c r="W555" i="3"/>
  <c r="Z554" i="3"/>
  <c r="W554" i="3"/>
  <c r="M565" i="3"/>
  <c r="M564" i="3"/>
  <c r="M563" i="3"/>
  <c r="M562" i="3"/>
  <c r="M559" i="3"/>
  <c r="M558" i="3"/>
  <c r="M557" i="3"/>
  <c r="M556" i="3"/>
  <c r="M555" i="3"/>
  <c r="M554" i="3"/>
  <c r="C565" i="3"/>
  <c r="C564" i="3"/>
  <c r="C563" i="3"/>
  <c r="C562" i="3"/>
  <c r="C559" i="3"/>
  <c r="C558" i="3"/>
  <c r="C557" i="3"/>
  <c r="C556" i="3"/>
  <c r="C555" i="3"/>
  <c r="C554" i="3"/>
  <c r="AH539" i="3"/>
  <c r="AH538" i="3"/>
  <c r="AC539" i="3"/>
  <c r="AC538" i="3"/>
  <c r="AH519" i="3"/>
  <c r="AH518" i="3"/>
  <c r="AH517" i="3"/>
  <c r="AH516" i="3"/>
  <c r="AH515" i="3"/>
  <c r="AH514" i="3"/>
  <c r="AC519" i="3"/>
  <c r="AC518" i="3"/>
  <c r="AC517" i="3"/>
  <c r="AC516" i="3"/>
  <c r="AC515" i="3"/>
  <c r="AC514" i="3"/>
  <c r="M495" i="3"/>
  <c r="Q494" i="3"/>
  <c r="Q493" i="3"/>
  <c r="Q492" i="3"/>
  <c r="Q491" i="3"/>
  <c r="Q488" i="3"/>
  <c r="Q487" i="3"/>
  <c r="Q486" i="3"/>
  <c r="W472" i="3"/>
  <c r="W471" i="3"/>
  <c r="W470" i="3"/>
  <c r="W469" i="3"/>
  <c r="W468" i="3"/>
  <c r="W467" i="3"/>
  <c r="W466" i="3"/>
  <c r="W465" i="3"/>
  <c r="AG449" i="3"/>
  <c r="AG447" i="3"/>
  <c r="AG446" i="3"/>
  <c r="Z434" i="3"/>
  <c r="Z432" i="3"/>
  <c r="AF430" i="3"/>
  <c r="Q429" i="3"/>
  <c r="AE425" i="3"/>
  <c r="AE424" i="3"/>
  <c r="P425" i="3"/>
  <c r="P424" i="3"/>
  <c r="I421" i="3"/>
  <c r="P418" i="3"/>
  <c r="H414" i="3"/>
  <c r="S413" i="3"/>
  <c r="R412" i="3"/>
  <c r="R411" i="3"/>
  <c r="I410" i="3"/>
  <c r="K404" i="3"/>
  <c r="K403" i="3"/>
  <c r="AE402" i="3"/>
  <c r="AG401" i="3"/>
  <c r="S405" i="3"/>
  <c r="S402" i="3"/>
  <c r="S401" i="3"/>
  <c r="I392" i="3"/>
  <c r="AG395" i="3"/>
  <c r="AG394" i="3"/>
  <c r="AG393" i="3"/>
  <c r="AI392" i="3"/>
  <c r="AG391" i="3"/>
  <c r="AG390" i="3"/>
  <c r="AI389" i="3"/>
  <c r="Q394" i="3"/>
  <c r="Q393" i="3"/>
  <c r="Q391" i="3"/>
  <c r="Q390" i="3"/>
  <c r="Q389" i="3"/>
  <c r="AC387" i="3"/>
  <c r="AC386" i="3"/>
  <c r="AC385" i="3"/>
  <c r="J388" i="3"/>
  <c r="J387" i="3"/>
  <c r="J386" i="3"/>
  <c r="J385" i="3"/>
  <c r="J367" i="3"/>
  <c r="Q365" i="3"/>
  <c r="Y364" i="3"/>
  <c r="N363" i="3"/>
  <c r="AJ357" i="3"/>
  <c r="AJ356" i="3"/>
  <c r="AJ355" i="3"/>
  <c r="M358" i="3"/>
  <c r="M357" i="3"/>
  <c r="M356" i="3"/>
  <c r="M355" i="3"/>
  <c r="AA341" i="3"/>
  <c r="AA340" i="3"/>
  <c r="AA339" i="3"/>
  <c r="AA338" i="3"/>
  <c r="AA337" i="3"/>
  <c r="AA336" i="3"/>
  <c r="AA335"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W159" i="3"/>
  <c r="O161" i="3"/>
  <c r="O160" i="3"/>
  <c r="O159" i="3"/>
  <c r="O158" i="3"/>
  <c r="O157" i="3"/>
  <c r="O156" i="3"/>
  <c r="O155" i="3"/>
  <c r="O154" i="3"/>
  <c r="O153" i="3"/>
  <c r="O33" i="3"/>
  <c r="H18" i="3"/>
  <c r="H16" i="3"/>
  <c r="C561" i="3" l="1"/>
  <c r="T735" i="3"/>
  <c r="T736" i="3"/>
  <c r="T737" i="3"/>
  <c r="C560" i="3"/>
  <c r="M561" i="3"/>
  <c r="T741" i="3"/>
  <c r="AC741" i="3"/>
  <c r="T719" i="3"/>
  <c r="AC719" i="3"/>
  <c r="T721" i="3"/>
  <c r="AC740" i="3"/>
  <c r="T740" i="3"/>
  <c r="AC738" i="3"/>
  <c r="T738" i="3"/>
  <c r="T729" i="3"/>
  <c r="AC729" i="3"/>
  <c r="T731" i="3"/>
  <c r="AC731" i="3"/>
  <c r="T732" i="3"/>
  <c r="AC732" i="3"/>
  <c r="C630" i="3"/>
  <c r="W560" i="3"/>
  <c r="C631" i="3"/>
  <c r="Q630" i="3"/>
  <c r="M560" i="3"/>
  <c r="W561" i="3"/>
  <c r="W630" i="3"/>
  <c r="T722" i="3"/>
  <c r="Z630" i="3"/>
  <c r="Q631" i="3"/>
  <c r="M631" i="3"/>
  <c r="T725" i="3"/>
  <c r="W631" i="3"/>
  <c r="AC723" i="3"/>
  <c r="AC724" i="3"/>
  <c r="C9" i="7"/>
  <c r="E103" i="4" l="1"/>
  <c r="E102" i="4"/>
  <c r="S101" i="4"/>
  <c r="E100" i="4"/>
  <c r="E94" i="4"/>
  <c r="E93" i="4"/>
  <c r="E92" i="4"/>
  <c r="E91" i="4"/>
  <c r="S90" i="4"/>
  <c r="S89" i="4"/>
  <c r="E84" i="4"/>
  <c r="E76" i="4"/>
  <c r="E74" i="4"/>
  <c r="E73" i="4"/>
  <c r="E72" i="4"/>
  <c r="E69" i="4"/>
  <c r="S67" i="4"/>
  <c r="S66" i="4"/>
  <c r="E61" i="4"/>
  <c r="E60" i="4"/>
  <c r="E59" i="4"/>
  <c r="E58" i="4"/>
  <c r="E57" i="4"/>
  <c r="S53" i="4"/>
  <c r="E41" i="4"/>
  <c r="S35" i="4"/>
  <c r="E27" i="4"/>
  <c r="E23" i="4"/>
  <c r="E25" i="4"/>
  <c r="E24" i="4"/>
  <c r="E22" i="4"/>
  <c r="E21" i="4"/>
  <c r="E20" i="4"/>
  <c r="E19" i="4"/>
  <c r="E18" i="4"/>
  <c r="E17" i="4"/>
  <c r="E15" i="4"/>
  <c r="E14" i="4"/>
  <c r="S13" i="4"/>
  <c r="E10" i="4"/>
  <c r="E9" i="4"/>
  <c r="S94" i="4"/>
  <c r="S93" i="4"/>
  <c r="S92" i="4"/>
  <c r="S91" i="4"/>
  <c r="S84" i="4"/>
  <c r="S40" i="4"/>
  <c r="S27" i="4"/>
  <c r="S25" i="4"/>
  <c r="S24" i="4"/>
  <c r="S23" i="4"/>
  <c r="S22" i="4"/>
  <c r="S21" i="4"/>
  <c r="S20" i="4"/>
  <c r="S19" i="4"/>
  <c r="S18" i="4"/>
  <c r="S17" i="4"/>
  <c r="E7" i="4"/>
  <c r="S50" i="4" l="1"/>
  <c r="E50" i="4"/>
  <c r="S69" i="4"/>
  <c r="E95" i="4"/>
  <c r="S95" i="4"/>
  <c r="AH495" i="3"/>
  <c r="E47" i="4"/>
  <c r="S47" i="4"/>
  <c r="E68" i="4"/>
  <c r="S68" i="4"/>
  <c r="E34" i="4"/>
  <c r="S34" i="4"/>
  <c r="S41" i="4"/>
  <c r="S100" i="4"/>
  <c r="E101" i="4"/>
  <c r="S102" i="4"/>
  <c r="S103" i="4"/>
  <c r="E89" i="4"/>
  <c r="E90" i="4"/>
  <c r="E65" i="4"/>
  <c r="E66" i="4"/>
  <c r="E67" i="4"/>
  <c r="E53" i="4"/>
  <c r="E35" i="4"/>
  <c r="E13" i="4"/>
  <c r="S14" i="4"/>
  <c r="S10" i="4"/>
  <c r="L113" i="3" l="1"/>
  <c r="G113" i="3"/>
  <c r="AD67" i="15" l="1"/>
  <c r="Y67" i="15"/>
  <c r="BE103" i="3" l="1"/>
  <c r="AC216" i="23"/>
  <c r="Y216" i="23"/>
  <c r="U216" i="23"/>
  <c r="BQ102" i="23"/>
  <c r="BQ101" i="23"/>
  <c r="N11" i="2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2" i="3"/>
  <c r="AZ723" i="3"/>
  <c r="AZ725" i="3"/>
  <c r="AZ728" i="3"/>
  <c r="AZ729" i="3"/>
  <c r="AZ731" i="3"/>
  <c r="AZ734" i="3"/>
  <c r="AZ735" i="3"/>
  <c r="AZ737" i="3"/>
  <c r="AZ740" i="3"/>
  <c r="AZ741" i="3"/>
  <c r="AZ742" i="3"/>
  <c r="AZ743" i="3"/>
  <c r="AZ744" i="3"/>
  <c r="AZ745" i="3"/>
  <c r="AZ746" i="3"/>
  <c r="AZ747" i="3"/>
  <c r="AZ748" i="3"/>
  <c r="AZ749" i="3"/>
  <c r="AZ750" i="3"/>
  <c r="AZ751" i="3"/>
  <c r="AZ752"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3" i="3"/>
  <c r="BR98" i="23" l="1"/>
  <c r="BQ98" i="23"/>
  <c r="BR97" i="23"/>
  <c r="BQ97" i="23"/>
  <c r="BR96" i="23"/>
  <c r="BQ96" i="23"/>
  <c r="AN28" i="23"/>
  <c r="AH28" i="23"/>
  <c r="AB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AZ1048" i="3"/>
  <c r="AZ1047" i="3"/>
  <c r="BA1052" i="3"/>
  <c r="O105" i="23" l="1"/>
  <c r="R93" i="23"/>
  <c r="R80" i="2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AC787" i="3"/>
  <c r="AC788" i="3"/>
  <c r="AC789" i="3"/>
  <c r="AC790" i="3"/>
  <c r="AC791" i="3"/>
  <c r="AC792" i="3"/>
  <c r="AC793" i="3"/>
  <c r="AC794" i="3"/>
  <c r="AC795" i="3"/>
  <c r="AC796" i="3"/>
  <c r="T25" i="15"/>
  <c r="AD7" i="15" s="1"/>
  <c r="DG122" i="3"/>
  <c r="R989" i="3" s="1"/>
  <c r="CP719" i="3"/>
  <c r="EZ719" i="3" s="1"/>
  <c r="CP721" i="3"/>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5" i="3"/>
  <c r="FE725" i="3" s="1"/>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1" i="3"/>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7" i="3"/>
  <c r="FO737" i="3" s="1"/>
  <c r="DE740" i="3"/>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1" i="3"/>
  <c r="CI721" i="3" s="1"/>
  <c r="CG722" i="3"/>
  <c r="CI722" i="3" s="1"/>
  <c r="CG723" i="3"/>
  <c r="CI723" i="3" s="1"/>
  <c r="CG725" i="3"/>
  <c r="CI725" i="3" s="1"/>
  <c r="CG728" i="3"/>
  <c r="CI728" i="3" s="1"/>
  <c r="CG729" i="3"/>
  <c r="CI729" i="3" s="1"/>
  <c r="CG731" i="3"/>
  <c r="CI731" i="3" s="1"/>
  <c r="CG734" i="3"/>
  <c r="CI734" i="3" s="1"/>
  <c r="CG735" i="3"/>
  <c r="CI735" i="3" s="1"/>
  <c r="CG737" i="3"/>
  <c r="CI737" i="3" s="1"/>
  <c r="CG740" i="3"/>
  <c r="CI740" i="3" s="1"/>
  <c r="CG752" i="3"/>
  <c r="CI752" i="3" s="1"/>
  <c r="CK719" i="3"/>
  <c r="CM719" i="3" s="1"/>
  <c r="CK721" i="3"/>
  <c r="CM721" i="3" s="1"/>
  <c r="CK722" i="3"/>
  <c r="CM722" i="3" s="1"/>
  <c r="CK723" i="3"/>
  <c r="CM723" i="3" s="1"/>
  <c r="CK725" i="3"/>
  <c r="CM725" i="3" s="1"/>
  <c r="CK728" i="3"/>
  <c r="CM728" i="3" s="1"/>
  <c r="CK729" i="3"/>
  <c r="CM729" i="3" s="1"/>
  <c r="CK731" i="3"/>
  <c r="CM731" i="3" s="1"/>
  <c r="CK734" i="3"/>
  <c r="CM734" i="3" s="1"/>
  <c r="CK735" i="3"/>
  <c r="CM735" i="3" s="1"/>
  <c r="CK737" i="3"/>
  <c r="CM737"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AP95" i="20"/>
  <c r="BF719" i="3"/>
  <c r="BF721" i="3"/>
  <c r="BF722" i="3"/>
  <c r="BF723" i="3"/>
  <c r="BF725" i="3"/>
  <c r="BF728" i="3"/>
  <c r="BF729" i="3"/>
  <c r="BF731" i="3"/>
  <c r="BF734" i="3"/>
  <c r="BF735" i="3"/>
  <c r="BF737"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1" i="21"/>
  <c r="M23" i="21"/>
  <c r="M24" i="21"/>
  <c r="O24" i="21" s="1"/>
  <c r="M25" i="21"/>
  <c r="O25" i="21" s="1"/>
  <c r="M27" i="21"/>
  <c r="O27" i="21" s="1"/>
  <c r="M30" i="21"/>
  <c r="M31" i="21"/>
  <c r="O31" i="21" s="1"/>
  <c r="M33" i="21"/>
  <c r="M36" i="21"/>
  <c r="M37" i="21"/>
  <c r="O37" i="21" s="1"/>
  <c r="M39" i="21"/>
  <c r="O39" i="21" s="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1" i="21"/>
  <c r="N23" i="21"/>
  <c r="N24" i="21"/>
  <c r="N25" i="21"/>
  <c r="N27" i="21"/>
  <c r="N30" i="21"/>
  <c r="N31" i="21"/>
  <c r="N33" i="21"/>
  <c r="N36" i="21"/>
  <c r="N37" i="21"/>
  <c r="N39" i="21"/>
  <c r="N42" i="21"/>
  <c r="N43" i="21"/>
  <c r="B5" i="8"/>
  <c r="G5" i="8" s="1"/>
  <c r="E88" i="21"/>
  <c r="E79" i="21"/>
  <c r="B35" i="21"/>
  <c r="B20" i="21"/>
  <c r="B7" i="8"/>
  <c r="G7" i="8" s="1"/>
  <c r="AK285" i="20"/>
  <c r="T814" i="20" s="1"/>
  <c r="AF814" i="20" s="1"/>
  <c r="BE78" i="3" s="1"/>
  <c r="B24" i="4"/>
  <c r="B66" i="4"/>
  <c r="B67" i="4"/>
  <c r="B68" i="4"/>
  <c r="B69" i="4"/>
  <c r="R66" i="4"/>
  <c r="R67" i="4"/>
  <c r="R68" i="4"/>
  <c r="A104" i="11"/>
  <c r="C101" i="11"/>
  <c r="C102" i="11"/>
  <c r="C103" i="11"/>
  <c r="C104" i="11"/>
  <c r="B101" i="11"/>
  <c r="B102" i="11"/>
  <c r="B103" i="11"/>
  <c r="B104" i="11"/>
  <c r="C85" i="11"/>
  <c r="C90" i="11"/>
  <c r="C91" i="11"/>
  <c r="C92" i="11"/>
  <c r="C93" i="11"/>
  <c r="C94" i="11"/>
  <c r="C95" i="11"/>
  <c r="C96" i="11"/>
  <c r="B85" i="11"/>
  <c r="B90" i="11"/>
  <c r="B91" i="11"/>
  <c r="B92" i="11"/>
  <c r="B93" i="11"/>
  <c r="B94" i="11"/>
  <c r="B95" i="11"/>
  <c r="B96" i="11"/>
  <c r="A70" i="11"/>
  <c r="C67" i="11"/>
  <c r="C68" i="11"/>
  <c r="C69" i="11"/>
  <c r="C70" i="11"/>
  <c r="B67" i="11"/>
  <c r="B68" i="11"/>
  <c r="B69" i="11"/>
  <c r="B70" i="11"/>
  <c r="A62" i="11"/>
  <c r="A54" i="11"/>
  <c r="A38" i="11"/>
  <c r="A26" i="11"/>
  <c r="C35" i="11"/>
  <c r="C36" i="11"/>
  <c r="B35" i="11"/>
  <c r="B36" i="11"/>
  <c r="C24" i="11"/>
  <c r="C25" i="11"/>
  <c r="C26" i="11"/>
  <c r="B25" i="11"/>
  <c r="B26" i="11"/>
  <c r="D70" i="4"/>
  <c r="C70" i="4"/>
  <c r="B70" i="13" s="1"/>
  <c r="C54" i="11"/>
  <c r="B54" i="1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H24" i="13"/>
  <c r="E24" i="13"/>
  <c r="F24" i="13" s="1"/>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0" i="3"/>
  <c r="G24" i="7"/>
  <c r="I24" i="7" s="1"/>
  <c r="K24" i="7" s="1"/>
  <c r="M24" i="7" s="1"/>
  <c r="O24" i="7" s="1"/>
  <c r="Q24" i="7" s="1"/>
  <c r="S24" i="7" s="1"/>
  <c r="U24" i="7" s="1"/>
  <c r="W24" i="7" s="1"/>
  <c r="Y24" i="7" s="1"/>
  <c r="AA24" i="7" s="1"/>
  <c r="AC24" i="7" s="1"/>
  <c r="AE24" i="7" s="1"/>
  <c r="AG24" i="7" s="1"/>
  <c r="B100" i="4"/>
  <c r="R100" i="4"/>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2" i="3"/>
  <c r="BS723" i="3"/>
  <c r="BS725" i="3"/>
  <c r="BS728" i="3"/>
  <c r="BS729" i="3"/>
  <c r="BS731" i="3"/>
  <c r="BS734" i="3"/>
  <c r="BS735" i="3"/>
  <c r="BS737"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4" i="8"/>
  <c r="G14" i="8" s="1"/>
  <c r="B15" i="8"/>
  <c r="G15" i="8" s="1"/>
  <c r="B17" i="8"/>
  <c r="G17" i="8" s="1"/>
  <c r="B20" i="8"/>
  <c r="G20" i="8" s="1"/>
  <c r="B21" i="8"/>
  <c r="G21" i="8" s="1"/>
  <c r="B23" i="8"/>
  <c r="G23"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92" i="13"/>
  <c r="F92" i="13" s="1"/>
  <c r="E91" i="13"/>
  <c r="F91" i="13" s="1"/>
  <c r="E90" i="13"/>
  <c r="F90" i="13" s="1"/>
  <c r="E89" i="13"/>
  <c r="F89" i="13" s="1"/>
  <c r="E84" i="13"/>
  <c r="F84" i="13" s="1"/>
  <c r="E65" i="13"/>
  <c r="F65" i="13" s="1"/>
  <c r="E53" i="13"/>
  <c r="F53" i="13" s="1"/>
  <c r="E50" i="13"/>
  <c r="F50" i="13" s="1"/>
  <c r="E47" i="13"/>
  <c r="F47" i="13" s="1"/>
  <c r="E41" i="13"/>
  <c r="F41" i="13" s="1"/>
  <c r="E40" i="13"/>
  <c r="F40" i="13" s="1"/>
  <c r="E35" i="13"/>
  <c r="F35" i="13" s="1"/>
  <c r="E34" i="13"/>
  <c r="F34"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5" i="13"/>
  <c r="C95" i="13" s="1"/>
  <c r="B94" i="13"/>
  <c r="C94" i="13" s="1"/>
  <c r="B93" i="13"/>
  <c r="C93" i="13" s="1"/>
  <c r="B92" i="13"/>
  <c r="C92" i="13" s="1"/>
  <c r="B91" i="13"/>
  <c r="C91" i="13" s="1"/>
  <c r="B90" i="13"/>
  <c r="C90" i="13" s="1"/>
  <c r="B89" i="13"/>
  <c r="C89"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C42" i="4"/>
  <c r="B42" i="13" s="1"/>
  <c r="B41" i="13"/>
  <c r="C41" i="13" s="1"/>
  <c r="B40" i="13"/>
  <c r="C40" i="13" s="1"/>
  <c r="B35" i="13"/>
  <c r="C35" i="13" s="1"/>
  <c r="B34" i="13"/>
  <c r="C34" i="13" s="1"/>
  <c r="B27" i="13"/>
  <c r="C27" i="13" s="1"/>
  <c r="B25" i="13"/>
  <c r="C25" i="13" s="1"/>
  <c r="B23" i="13"/>
  <c r="C23" i="13" s="1"/>
  <c r="B22" i="13"/>
  <c r="C22" i="13" s="1"/>
  <c r="B21" i="13"/>
  <c r="C21" i="13" s="1"/>
  <c r="B20" i="13"/>
  <c r="C20" i="13" s="1"/>
  <c r="B19" i="13"/>
  <c r="C19" i="13" s="1"/>
  <c r="B18" i="13"/>
  <c r="C18" i="13" s="1"/>
  <c r="B17" i="13"/>
  <c r="C17" i="13" s="1"/>
  <c r="B7" i="13"/>
  <c r="C7" i="13" s="1"/>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5" i="4"/>
  <c r="R94" i="4"/>
  <c r="R93" i="4"/>
  <c r="R92" i="4"/>
  <c r="R90" i="4"/>
  <c r="R89" i="4"/>
  <c r="R76" i="4"/>
  <c r="R72" i="4"/>
  <c r="R73" i="4"/>
  <c r="R74" i="4"/>
  <c r="R69" i="4"/>
  <c r="R65" i="4"/>
  <c r="R61" i="4"/>
  <c r="R60" i="4"/>
  <c r="R59" i="4"/>
  <c r="R58" i="4"/>
  <c r="R57" i="4"/>
  <c r="R53" i="4"/>
  <c r="R50" i="4"/>
  <c r="R47" i="4"/>
  <c r="R41" i="4"/>
  <c r="R35" i="4"/>
  <c r="R34" i="4"/>
  <c r="R27" i="4"/>
  <c r="R25" i="4"/>
  <c r="R23" i="4"/>
  <c r="R22" i="4"/>
  <c r="R21" i="4"/>
  <c r="R20" i="4"/>
  <c r="R19" i="4"/>
  <c r="R18" i="4"/>
  <c r="R17" i="4"/>
  <c r="R15" i="4"/>
  <c r="R14" i="4"/>
  <c r="R13" i="4"/>
  <c r="R9" i="4"/>
  <c r="R7" i="4"/>
  <c r="B5" i="11"/>
  <c r="C5"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A23" i="8"/>
  <c r="A24" i="8"/>
  <c r="A25" i="8"/>
  <c r="A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42" i="4"/>
  <c r="E42" i="13" s="1"/>
  <c r="F2" i="4"/>
  <c r="G2" i="4"/>
  <c r="H2" i="4"/>
  <c r="I2" i="4"/>
  <c r="L2" i="4"/>
  <c r="M2" i="4"/>
  <c r="N2" i="4"/>
  <c r="O2" i="4"/>
  <c r="P2" i="4"/>
  <c r="Q2" i="4"/>
  <c r="B4" i="4"/>
  <c r="B7" i="4"/>
  <c r="F8" i="4"/>
  <c r="G8" i="4"/>
  <c r="G11" i="4"/>
  <c r="H8" i="4"/>
  <c r="H11" i="4"/>
  <c r="I8" i="4"/>
  <c r="I11" i="4"/>
  <c r="J11" i="4"/>
  <c r="J26" i="4"/>
  <c r="J38" i="4"/>
  <c r="J42" i="4"/>
  <c r="J54" i="4"/>
  <c r="J62" i="4"/>
  <c r="J70" i="4"/>
  <c r="J77" i="4"/>
  <c r="J96" i="4"/>
  <c r="J104" i="4"/>
  <c r="K8" i="4"/>
  <c r="K11" i="4"/>
  <c r="L8" i="4"/>
  <c r="L11" i="4"/>
  <c r="M8" i="4"/>
  <c r="M11" i="4"/>
  <c r="N8" i="4"/>
  <c r="O8" i="4"/>
  <c r="Q8" i="4"/>
  <c r="Q11" i="4"/>
  <c r="B9" i="4"/>
  <c r="B10" i="4"/>
  <c r="E11" i="4"/>
  <c r="F11" i="4"/>
  <c r="F26"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0" i="4"/>
  <c r="B41" i="4"/>
  <c r="G42" i="4"/>
  <c r="H42" i="4"/>
  <c r="K42" i="4"/>
  <c r="L42" i="4"/>
  <c r="O42" i="4"/>
  <c r="Q42"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H77" i="4"/>
  <c r="I77" i="4"/>
  <c r="K77" i="4"/>
  <c r="L77" i="4"/>
  <c r="Q77" i="4"/>
  <c r="B84" i="4"/>
  <c r="B89" i="4"/>
  <c r="B90" i="4"/>
  <c r="B91" i="4"/>
  <c r="B92" i="4"/>
  <c r="B93" i="4"/>
  <c r="B94" i="4"/>
  <c r="B95" i="4"/>
  <c r="F96" i="4"/>
  <c r="G96" i="4"/>
  <c r="H96" i="4"/>
  <c r="I96" i="4"/>
  <c r="K96" i="4"/>
  <c r="L96" i="4"/>
  <c r="Q96" i="4"/>
  <c r="B101" i="4"/>
  <c r="B102" i="4"/>
  <c r="B103" i="4"/>
  <c r="F104" i="4"/>
  <c r="G104" i="4"/>
  <c r="I104" i="4"/>
  <c r="K104" i="4"/>
  <c r="L104" i="4"/>
  <c r="Q104" i="4"/>
  <c r="I108" i="4"/>
  <c r="I30" i="4" s="1"/>
  <c r="I38" i="4" s="1"/>
  <c r="L108" i="4"/>
  <c r="M108" i="4"/>
  <c r="N108" i="4"/>
  <c r="O108" i="4"/>
  <c r="P108" i="4"/>
  <c r="Q108" i="4"/>
  <c r="B131" i="4"/>
  <c r="I184" i="3"/>
  <c r="W418" i="3"/>
  <c r="BA453" i="3"/>
  <c r="BA454" i="3"/>
  <c r="BA461" i="3"/>
  <c r="BA462" i="3"/>
  <c r="BA469" i="3"/>
  <c r="BI542" i="3"/>
  <c r="BI543" i="3"/>
  <c r="BI550" i="3"/>
  <c r="BI559" i="3"/>
  <c r="G568" i="3"/>
  <c r="Z568" i="3"/>
  <c r="BI566" i="3"/>
  <c r="BI567" i="3"/>
  <c r="G577" i="3"/>
  <c r="Z577" i="3"/>
  <c r="G585" i="3"/>
  <c r="Z585" i="3"/>
  <c r="G593" i="3"/>
  <c r="Z593" i="3"/>
  <c r="G601" i="3"/>
  <c r="Z601" i="3"/>
  <c r="DU719" i="3"/>
  <c r="DZ719" i="3"/>
  <c r="EE719" i="3"/>
  <c r="EJ719" i="3"/>
  <c r="EO719" i="3"/>
  <c r="ET719" i="3"/>
  <c r="DU721" i="3"/>
  <c r="DZ721" i="3"/>
  <c r="EE721" i="3"/>
  <c r="EJ721" i="3"/>
  <c r="EO721" i="3"/>
  <c r="ET721" i="3"/>
  <c r="DU722" i="3"/>
  <c r="DZ722" i="3"/>
  <c r="EE722" i="3"/>
  <c r="EJ722" i="3"/>
  <c r="EO722" i="3"/>
  <c r="ET722" i="3"/>
  <c r="DU723" i="3"/>
  <c r="DZ723" i="3"/>
  <c r="EE723" i="3"/>
  <c r="EJ723" i="3"/>
  <c r="EO723" i="3"/>
  <c r="ET723" i="3"/>
  <c r="G609" i="3"/>
  <c r="Z609" i="3"/>
  <c r="DU725" i="3"/>
  <c r="DZ725" i="3"/>
  <c r="EE725" i="3"/>
  <c r="EJ725" i="3"/>
  <c r="EO725" i="3"/>
  <c r="ET725" i="3"/>
  <c r="DU728" i="3"/>
  <c r="DZ728" i="3"/>
  <c r="EE728" i="3"/>
  <c r="EJ728" i="3"/>
  <c r="EO728" i="3"/>
  <c r="ET728" i="3"/>
  <c r="DU729" i="3"/>
  <c r="DZ729" i="3"/>
  <c r="EE729" i="3"/>
  <c r="EJ729" i="3"/>
  <c r="EO729" i="3"/>
  <c r="ET729" i="3"/>
  <c r="DU731" i="3"/>
  <c r="DZ731" i="3"/>
  <c r="EE731" i="3"/>
  <c r="EJ731" i="3"/>
  <c r="EO731" i="3"/>
  <c r="ET731" i="3"/>
  <c r="DU734" i="3"/>
  <c r="DZ734" i="3"/>
  <c r="EE734" i="3"/>
  <c r="EJ734" i="3"/>
  <c r="EO734" i="3"/>
  <c r="ET734" i="3"/>
  <c r="DU735" i="3"/>
  <c r="DZ735" i="3"/>
  <c r="EE735" i="3"/>
  <c r="EJ735" i="3"/>
  <c r="EO735" i="3"/>
  <c r="ET735" i="3"/>
  <c r="DU737" i="3"/>
  <c r="DZ737" i="3"/>
  <c r="EE737" i="3"/>
  <c r="EJ737" i="3"/>
  <c r="EO737" i="3"/>
  <c r="ET737" i="3"/>
  <c r="DU740" i="3"/>
  <c r="DZ740" i="3"/>
  <c r="EE740" i="3"/>
  <c r="EJ740" i="3"/>
  <c r="EO740" i="3"/>
  <c r="ET740" i="3"/>
  <c r="DU752" i="3"/>
  <c r="DZ752" i="3"/>
  <c r="EE752" i="3"/>
  <c r="EJ752" i="3"/>
  <c r="EO752" i="3"/>
  <c r="ET752" i="3"/>
  <c r="G643" i="3"/>
  <c r="Z643" i="3"/>
  <c r="G651" i="3"/>
  <c r="Z651" i="3"/>
  <c r="G667" i="3"/>
  <c r="Z667" i="3"/>
  <c r="G675" i="3"/>
  <c r="Z675" i="3"/>
  <c r="G683" i="3"/>
  <c r="Z683" i="3"/>
  <c r="M832" i="3"/>
  <c r="Q832" i="3"/>
  <c r="U832" i="3"/>
  <c r="Y832" i="3"/>
  <c r="AC832" i="3"/>
  <c r="AG832" i="3"/>
  <c r="Z902" i="3"/>
  <c r="BE23" i="3" l="1"/>
  <c r="Z594" i="3"/>
  <c r="AA598" i="3"/>
  <c r="Z597" i="3"/>
  <c r="Z596" i="3"/>
  <c r="Z595" i="3"/>
  <c r="AG599" i="3"/>
  <c r="BA479" i="3" s="1"/>
  <c r="G597" i="3"/>
  <c r="H598" i="3"/>
  <c r="G596" i="3"/>
  <c r="G595" i="3"/>
  <c r="G594" i="3"/>
  <c r="N599" i="3"/>
  <c r="BA478" i="3" s="1"/>
  <c r="AG657" i="3"/>
  <c r="BI551" i="3" s="1"/>
  <c r="AA656" i="3"/>
  <c r="Z655" i="3"/>
  <c r="Z654" i="3"/>
  <c r="Z653" i="3"/>
  <c r="Z652" i="3"/>
  <c r="B26" i="4"/>
  <c r="C42" i="13"/>
  <c r="F42" i="13"/>
  <c r="C26" i="13"/>
  <c r="F26" i="13"/>
  <c r="C11" i="13"/>
  <c r="C70" i="13"/>
  <c r="F70" i="13"/>
  <c r="D35" i="11"/>
  <c r="AO18" i="20"/>
  <c r="D36" i="11"/>
  <c r="D94" i="11"/>
  <c r="D103" i="11"/>
  <c r="D25" i="11"/>
  <c r="D91" i="11"/>
  <c r="D54" i="11"/>
  <c r="D90" i="11"/>
  <c r="D70" i="11"/>
  <c r="D93" i="11"/>
  <c r="D85" i="11"/>
  <c r="D101" i="11"/>
  <c r="D92" i="11"/>
  <c r="D96" i="11"/>
  <c r="D104" i="11"/>
  <c r="D95" i="11"/>
  <c r="D75" i="11"/>
  <c r="D62" i="11"/>
  <c r="D58" i="11"/>
  <c r="L12" i="4"/>
  <c r="B42" i="4"/>
  <c r="H12" i="4"/>
  <c r="D51" i="11"/>
  <c r="D48" i="11"/>
  <c r="D20" i="11"/>
  <c r="D15" i="11"/>
  <c r="D8" i="11"/>
  <c r="D41" i="11"/>
  <c r="D12" i="13"/>
  <c r="D74" i="11"/>
  <c r="D77" i="11"/>
  <c r="D73" i="11"/>
  <c r="D21" i="11"/>
  <c r="D16" i="11"/>
  <c r="B12" i="11"/>
  <c r="D5" i="11"/>
  <c r="D66" i="11"/>
  <c r="D59" i="11"/>
  <c r="D42" i="11"/>
  <c r="D28" i="11"/>
  <c r="N63" i="4"/>
  <c r="N97" i="4" s="1"/>
  <c r="N105" i="4" s="1"/>
  <c r="D12" i="4"/>
  <c r="C43" i="11"/>
  <c r="F12" i="4"/>
  <c r="D11" i="11"/>
  <c r="D24" i="11"/>
  <c r="B71" i="11"/>
  <c r="O12" i="4"/>
  <c r="D10" i="11"/>
  <c r="B43" i="11"/>
  <c r="Q12" i="4"/>
  <c r="K12" i="4"/>
  <c r="D61" i="11"/>
  <c r="D22" i="11"/>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18" i="11"/>
  <c r="C12" i="11"/>
  <c r="Q63" i="4"/>
  <c r="Q97" i="4" s="1"/>
  <c r="Q105" i="4" s="1"/>
  <c r="B11" i="4"/>
  <c r="J63" i="13"/>
  <c r="J97" i="13" s="1"/>
  <c r="J105" i="13" s="1"/>
  <c r="J107" i="13" s="1"/>
  <c r="D60" i="11"/>
  <c r="M12" i="4"/>
  <c r="R26" i="4"/>
  <c r="D63" i="13"/>
  <c r="D97" i="13" s="1"/>
  <c r="D105" i="13" s="1"/>
  <c r="D23" i="11"/>
  <c r="D19" i="11"/>
  <c r="D14" i="11"/>
  <c r="G63" i="13"/>
  <c r="G97" i="13" s="1"/>
  <c r="G105" i="13" s="1"/>
  <c r="G107" i="13" s="1"/>
  <c r="M53" i="7"/>
  <c r="K58" i="7"/>
  <c r="C27" i="11"/>
  <c r="H63" i="4"/>
  <c r="H97" i="4" s="1"/>
  <c r="G63" i="4"/>
  <c r="I58" i="7"/>
  <c r="T63" i="4"/>
  <c r="K63" i="4"/>
  <c r="K97" i="4" s="1"/>
  <c r="K105" i="4" s="1"/>
  <c r="BG243" i="3"/>
  <c r="BO245" i="3" s="1"/>
  <c r="T267" i="3" s="1"/>
  <c r="J7" i="8"/>
  <c r="J40" i="8" s="1"/>
  <c r="Z809" i="3" s="1"/>
  <c r="S37" i="21"/>
  <c r="S43" i="21"/>
  <c r="U33" i="21"/>
  <c r="U24" i="21"/>
  <c r="S39" i="21"/>
  <c r="U37" i="21"/>
  <c r="T21" i="21"/>
  <c r="U21" i="21"/>
  <c r="U36" i="21"/>
  <c r="T43" i="21"/>
  <c r="U43" i="21"/>
  <c r="T27" i="21"/>
  <c r="U27" i="21"/>
  <c r="R42" i="21" a="1"/>
  <c r="R42" i="21" s="1"/>
  <c r="U42" i="21"/>
  <c r="T25" i="21"/>
  <c r="U25" i="21"/>
  <c r="R30" i="21" a="1"/>
  <c r="R30" i="21" s="1"/>
  <c r="U30" i="21"/>
  <c r="T39" i="21"/>
  <c r="U39" i="21"/>
  <c r="T31" i="21"/>
  <c r="U31" i="21"/>
  <c r="T23" i="21"/>
  <c r="U23" i="21"/>
  <c r="AO23" i="20"/>
  <c r="AF1017" i="3"/>
  <c r="C7" i="7"/>
  <c r="G12" i="4"/>
  <c r="G99" i="2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FE718" i="3"/>
  <c r="Y7" i="15"/>
  <c r="AI7" i="15"/>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T24" i="21"/>
  <c r="B27" i="11"/>
  <c r="D26" i="11"/>
  <c r="T30" i="21"/>
  <c r="T7" i="15"/>
  <c r="R25" i="21" a="1"/>
  <c r="R25" i="21" s="1"/>
  <c r="T36" i="21"/>
  <c r="T42" i="21"/>
  <c r="AD68" i="15"/>
  <c r="T33" i="21"/>
  <c r="DO777" i="3"/>
  <c r="DS778" i="3" s="1"/>
  <c r="CZ777" i="3"/>
  <c r="DD778" i="3" s="1"/>
  <c r="DE777" i="3"/>
  <c r="DI778" i="3" s="1"/>
  <c r="R39" i="21" a="1"/>
  <c r="R39" i="21" s="1"/>
  <c r="R27" i="21" a="1"/>
  <c r="R27" i="21" s="1"/>
  <c r="DJ777" i="3"/>
  <c r="DN778" i="3" s="1"/>
  <c r="DO797" i="3"/>
  <c r="DS798" i="3" s="1"/>
  <c r="AC797" i="3"/>
  <c r="DZ797" i="3"/>
  <c r="R43" i="21" a="1"/>
  <c r="R43" i="21" s="1"/>
  <c r="R31" i="21" a="1"/>
  <c r="R31" i="21" s="1"/>
  <c r="R988" i="3"/>
  <c r="R987" i="3"/>
  <c r="R986" i="3"/>
  <c r="R23" i="21" a="1"/>
  <c r="R23" i="21" s="1"/>
  <c r="R990" i="3"/>
  <c r="FT753" i="3"/>
  <c r="CZ797" i="3"/>
  <c r="DD798" i="3" s="1"/>
  <c r="EE794" i="3"/>
  <c r="EE797" i="3" s="1"/>
  <c r="DJ753" i="3"/>
  <c r="AX692" i="20" s="1"/>
  <c r="CU797" i="3"/>
  <c r="CY798" i="3" s="1"/>
  <c r="R37" i="21" a="1"/>
  <c r="R37" i="21" s="1"/>
  <c r="P37" i="21" a="1"/>
  <c r="P37" i="21" s="1"/>
  <c r="T37" i="21"/>
  <c r="DO753" i="3"/>
  <c r="AX693" i="20" s="1"/>
  <c r="ET797" i="3"/>
  <c r="DJ797" i="3"/>
  <c r="DN798" i="3" s="1"/>
  <c r="EO787" i="3"/>
  <c r="EO797" i="3" s="1"/>
  <c r="EJ797" i="3"/>
  <c r="DE797" i="3"/>
  <c r="DI798" i="3" s="1"/>
  <c r="DU790" i="3"/>
  <c r="DU797" i="3" s="1"/>
  <c r="CP797" i="3"/>
  <c r="P39" i="21" a="1"/>
  <c r="P39" i="21" s="1"/>
  <c r="R36" i="21" a="1"/>
  <c r="R36" i="21" s="1"/>
  <c r="R33" i="21" a="1"/>
  <c r="R33" i="21" s="1"/>
  <c r="R24" i="21" a="1"/>
  <c r="R24" i="21" s="1"/>
  <c r="E28" i="21"/>
  <c r="D43" i="11" l="1"/>
  <c r="D71" i="11"/>
  <c r="D12" i="11"/>
  <c r="D27" i="11"/>
  <c r="T97" i="4"/>
  <c r="H63" i="13"/>
  <c r="AO39" i="20"/>
  <c r="AK62" i="20" s="1"/>
  <c r="T804" i="20" s="1"/>
  <c r="AF804" i="20" s="1"/>
  <c r="BE71" i="3" s="1"/>
  <c r="O53" i="7"/>
  <c r="M58" i="7"/>
  <c r="AO42" i="20"/>
  <c r="AS360" i="20"/>
  <c r="G130" i="21"/>
  <c r="G132" i="21" s="1"/>
  <c r="I16" i="21" s="1"/>
  <c r="AS362" i="20"/>
  <c r="AS358" i="20" s="1"/>
  <c r="AK469" i="20" s="1"/>
  <c r="T817" i="20" s="1"/>
  <c r="AF817" i="20" s="1"/>
  <c r="BE80" i="3" s="1"/>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R642" i="3"/>
  <c r="EW651" i="3"/>
  <c r="ER650" i="3"/>
  <c r="ER668" i="3"/>
  <c r="CT798" i="3"/>
  <c r="DU800" i="3" s="1"/>
  <c r="DU799" i="3"/>
  <c r="ET799" i="3"/>
  <c r="E6" i="7"/>
  <c r="AK84" i="20" l="1"/>
  <c r="AK191" i="20" s="1"/>
  <c r="T811" i="20" s="1"/>
  <c r="AF811" i="20" s="1"/>
  <c r="BE76" i="3" s="1"/>
  <c r="O58" i="7"/>
  <c r="Q53" i="7"/>
  <c r="T105" i="4"/>
  <c r="H97" i="13"/>
  <c r="P31" i="21" a="1"/>
  <c r="P31" i="21" s="1"/>
  <c r="S31" i="21" s="1"/>
  <c r="P25" i="21" a="1"/>
  <c r="P25" i="21" s="1"/>
  <c r="S25" i="21" s="1"/>
  <c r="P27" i="21" a="1"/>
  <c r="P27" i="21" s="1"/>
  <c r="S27" i="21" s="1"/>
  <c r="P24" i="21" a="1"/>
  <c r="P24" i="21" s="1"/>
  <c r="S24" i="21" s="1"/>
  <c r="EW670" i="3"/>
  <c r="AD130" i="20" s="1"/>
  <c r="AD133" i="20" s="1"/>
  <c r="ER670" i="3"/>
  <c r="Y130" i="20" s="1"/>
  <c r="Y133" i="20" s="1"/>
  <c r="AB990" i="3"/>
  <c r="AJ990" i="3" s="1"/>
  <c r="G6" i="7"/>
  <c r="E7" i="7"/>
  <c r="T805" i="20" l="1"/>
  <c r="AF805" i="20" s="1"/>
  <c r="BE72" i="3" s="1"/>
  <c r="H105" i="13"/>
  <c r="T107" i="4"/>
  <c r="H107" i="13" s="1"/>
  <c r="Q58" i="7"/>
  <c r="S53" i="7"/>
  <c r="I6" i="7"/>
  <c r="G7" i="7"/>
  <c r="AD11" i="15" l="1"/>
  <c r="AD23" i="15" s="1"/>
  <c r="AD26" i="15" s="1"/>
  <c r="AI11" i="15"/>
  <c r="AI23" i="15" s="1"/>
  <c r="AI26" i="15" s="1"/>
  <c r="S58" i="7"/>
  <c r="U53" i="7"/>
  <c r="K6" i="7"/>
  <c r="I7" i="7"/>
  <c r="U58" i="7" l="1"/>
  <c r="W53" i="7"/>
  <c r="M6" i="7"/>
  <c r="K7" i="7"/>
  <c r="W58" i="7" l="1"/>
  <c r="Y53" i="7"/>
  <c r="M7" i="7"/>
  <c r="O6" i="7"/>
  <c r="AA53" i="7" l="1"/>
  <c r="Y58" i="7"/>
  <c r="O7" i="7"/>
  <c r="Q6" i="7"/>
  <c r="AC53" i="7" l="1"/>
  <c r="AA58" i="7"/>
  <c r="Q7" i="7"/>
  <c r="S6" i="7"/>
  <c r="AE53" i="7" l="1"/>
  <c r="AC58" i="7"/>
  <c r="S7" i="7"/>
  <c r="U6" i="7"/>
  <c r="AG53" i="7" l="1"/>
  <c r="AG58" i="7" s="1"/>
  <c r="AE58" i="7"/>
  <c r="U7" i="7"/>
  <c r="W6" i="7"/>
  <c r="Y6" i="7" l="1"/>
  <c r="W7" i="7"/>
  <c r="Y7" i="7" l="1"/>
  <c r="AA6" i="7"/>
  <c r="AC6" i="7" l="1"/>
  <c r="AA7" i="7"/>
  <c r="AE6" i="7" l="1"/>
  <c r="AC7" i="7"/>
  <c r="AE7" i="7" l="1"/>
  <c r="AG6" i="7"/>
  <c r="AG7" i="7" l="1"/>
  <c r="I7" i="8" l="1"/>
  <c r="V28" i="23"/>
  <c r="CU775" i="3"/>
  <c r="CU777" i="3" s="1"/>
  <c r="CY778" i="3" s="1"/>
  <c r="P28" i="23" l="1"/>
  <c r="J28" i="23" s="1"/>
  <c r="CP773" i="3"/>
  <c r="CP777" i="3" s="1"/>
  <c r="DU777" i="3" l="1"/>
  <c r="CT778" i="3"/>
  <c r="DU778" i="3" s="1"/>
  <c r="Y64" i="15" l="1"/>
  <c r="Y68" i="15" s="1"/>
  <c r="AH722" i="3"/>
  <c r="O21" i="21" l="1"/>
  <c r="P21" i="21" s="1" a="1"/>
  <c r="P21" i="21" s="1"/>
  <c r="S21" i="21" s="1"/>
  <c r="AH719" i="3"/>
  <c r="AH725" i="3"/>
  <c r="AH723" i="3"/>
  <c r="C30" i="11" l="1"/>
  <c r="B30" i="11"/>
  <c r="F29" i="4"/>
  <c r="E29" i="4" s="1"/>
  <c r="B29" i="13"/>
  <c r="C29" i="13" s="1"/>
  <c r="B29" i="4"/>
  <c r="D30" i="11" l="1"/>
  <c r="R29" i="4"/>
  <c r="E29" i="13"/>
  <c r="F29" i="13" s="1"/>
  <c r="AH729" i="3" l="1"/>
  <c r="AH735" i="3"/>
  <c r="AH737" i="3"/>
  <c r="AH741" i="3"/>
  <c r="AZ736" i="3" l="1"/>
  <c r="BF736" i="3"/>
  <c r="BS736" i="3"/>
  <c r="CG736" i="3"/>
  <c r="CI736" i="3" s="1"/>
  <c r="CK736" i="3"/>
  <c r="CM736" i="3" s="1"/>
  <c r="DE736" i="3"/>
  <c r="FO736" i="3" s="1"/>
  <c r="BS738" i="3"/>
  <c r="DE738" i="3"/>
  <c r="FO738" i="3" s="1"/>
  <c r="DU738" i="3"/>
  <c r="DZ738" i="3"/>
  <c r="EE738" i="3"/>
  <c r="EJ738" i="3"/>
  <c r="EO738" i="3"/>
  <c r="ET738" i="3"/>
  <c r="AH740" i="3"/>
  <c r="B22" i="8"/>
  <c r="G22" i="8" s="1"/>
  <c r="B24" i="8"/>
  <c r="G24" i="8" s="1"/>
  <c r="M38" i="21"/>
  <c r="R38" i="21" s="1" a="1"/>
  <c r="R38" i="21" s="1"/>
  <c r="N38" i="21"/>
  <c r="M40" i="21"/>
  <c r="R40" i="21" s="1" a="1"/>
  <c r="R40" i="21" s="1"/>
  <c r="N40" i="21"/>
  <c r="T38" i="21" l="1"/>
  <c r="U38" i="21"/>
  <c r="T40" i="21"/>
  <c r="U40" i="21"/>
  <c r="FO740" i="3"/>
  <c r="CG738" i="3"/>
  <c r="CI738" i="3" s="1"/>
  <c r="CK738" i="3"/>
  <c r="CM738" i="3" s="1"/>
  <c r="AZ738" i="3"/>
  <c r="AH738" i="3" s="1"/>
  <c r="BF738" i="3"/>
  <c r="DU736" i="3"/>
  <c r="EE736" i="3"/>
  <c r="DZ736" i="3"/>
  <c r="EJ736" i="3"/>
  <c r="EO736" i="3"/>
  <c r="ET736" i="3"/>
  <c r="K108" i="4" l="1"/>
  <c r="E5" i="4" l="1"/>
  <c r="R5" i="4" s="1"/>
  <c r="B5" i="13"/>
  <c r="C5" i="13" s="1"/>
  <c r="B6" i="11"/>
  <c r="C6" i="11"/>
  <c r="B5" i="4"/>
  <c r="E43" i="4"/>
  <c r="R43" i="4" s="1"/>
  <c r="S43" i="4"/>
  <c r="E43" i="13" s="1"/>
  <c r="F43" i="13" s="1"/>
  <c r="B44" i="11"/>
  <c r="B43" i="4"/>
  <c r="C44" i="11"/>
  <c r="B43" i="13"/>
  <c r="C43" i="13" s="1"/>
  <c r="AT633" i="3"/>
  <c r="Z659" i="3"/>
  <c r="K2" i="4"/>
  <c r="J108" i="4"/>
  <c r="J4" i="4" s="1"/>
  <c r="D6" i="11" l="1"/>
  <c r="D44" i="11"/>
  <c r="E4" i="4"/>
  <c r="J8" i="4"/>
  <c r="AT630" i="3"/>
  <c r="AT631" i="3"/>
  <c r="AT632" i="3"/>
  <c r="G659" i="3"/>
  <c r="J2" i="4"/>
  <c r="O42" i="21"/>
  <c r="P42" i="21" s="1" a="1"/>
  <c r="P42" i="21" s="1"/>
  <c r="S42" i="21" s="1"/>
  <c r="O38" i="21"/>
  <c r="P38" i="21" s="1" a="1"/>
  <c r="P38" i="21" s="1"/>
  <c r="S38" i="21" s="1"/>
  <c r="O40" i="21"/>
  <c r="P40" i="21" s="1" a="1"/>
  <c r="P40" i="21" s="1"/>
  <c r="S40" i="21" s="1"/>
  <c r="H664" i="3" l="1"/>
  <c r="G661" i="3"/>
  <c r="G660" i="3"/>
  <c r="G663" i="3"/>
  <c r="N665" i="3"/>
  <c r="BI558" i="3" s="1"/>
  <c r="G662" i="3"/>
  <c r="J12" i="4"/>
  <c r="J63" i="4"/>
  <c r="J97" i="4" s="1"/>
  <c r="J105" i="4" s="1"/>
  <c r="R4" i="4"/>
  <c r="AH736" i="3" l="1"/>
  <c r="AH721" i="3"/>
  <c r="EZ721" i="3" l="1"/>
  <c r="O23" i="21" l="1"/>
  <c r="P23" i="21" s="1" a="1"/>
  <c r="P23" i="21" s="1"/>
  <c r="S23" i="21" s="1"/>
  <c r="AJ711" i="20" l="1"/>
  <c r="G108" i="4" l="1"/>
  <c r="G75" i="4" s="1"/>
  <c r="G77" i="4" s="1"/>
  <c r="G97" i="4" s="1"/>
  <c r="G105" i="4" s="1"/>
  <c r="W862" i="3" l="1"/>
  <c r="E18" i="7" s="1"/>
  <c r="G18" i="7" s="1"/>
  <c r="I18" i="7" s="1"/>
  <c r="K18" i="7" s="1"/>
  <c r="M18" i="7" s="1"/>
  <c r="O18" i="7" s="1"/>
  <c r="Q18" i="7" s="1"/>
  <c r="S18" i="7" s="1"/>
  <c r="U18" i="7" s="1"/>
  <c r="W18" i="7" s="1"/>
  <c r="Y18" i="7" s="1"/>
  <c r="AA18" i="7" s="1"/>
  <c r="AC18" i="7" s="1"/>
  <c r="AE18" i="7" s="1"/>
  <c r="AG18" i="7" s="1"/>
  <c r="W847" i="3"/>
  <c r="E15" i="7" s="1"/>
  <c r="G15" i="7" s="1"/>
  <c r="I15" i="7" s="1"/>
  <c r="K15" i="7" s="1"/>
  <c r="M15" i="7" s="1"/>
  <c r="O15" i="7" s="1"/>
  <c r="Q15" i="7" s="1"/>
  <c r="S15" i="7" s="1"/>
  <c r="U15" i="7" s="1"/>
  <c r="W15" i="7" s="1"/>
  <c r="Y15" i="7" s="1"/>
  <c r="AA15" i="7" s="1"/>
  <c r="AC15" i="7" s="1"/>
  <c r="AE15" i="7" s="1"/>
  <c r="AG15" i="7" s="1"/>
  <c r="AC776" i="3" l="1"/>
  <c r="AC774" i="3"/>
  <c r="CU724" i="3" l="1"/>
  <c r="FE724" i="3" s="1"/>
  <c r="N26" i="21"/>
  <c r="AZ724" i="3"/>
  <c r="BF724" i="3"/>
  <c r="BS724" i="3"/>
  <c r="EJ724" i="3"/>
  <c r="EO724" i="3"/>
  <c r="ET724" i="3"/>
  <c r="FJ731" i="3"/>
  <c r="BS732" i="3"/>
  <c r="B18" i="8" l="1"/>
  <c r="G18" i="8" s="1"/>
  <c r="M26" i="21"/>
  <c r="M34" i="21"/>
  <c r="U34" i="21" s="1"/>
  <c r="B10" i="8"/>
  <c r="G10" i="8" s="1"/>
  <c r="AZ732" i="3"/>
  <c r="BF732" i="3"/>
  <c r="CZ732" i="3"/>
  <c r="FJ732" i="3" s="1"/>
  <c r="CG724" i="3"/>
  <c r="CI724" i="3" s="1"/>
  <c r="CK724" i="3"/>
  <c r="CM724" i="3" s="1"/>
  <c r="DU724" i="3"/>
  <c r="DZ724" i="3"/>
  <c r="EE724" i="3"/>
  <c r="T34" i="21" l="1"/>
  <c r="U26" i="21"/>
  <c r="R26" i="21" a="1"/>
  <c r="R26" i="21" s="1"/>
  <c r="T26" i="21"/>
  <c r="R34" i="21" a="1"/>
  <c r="R34" i="21" s="1"/>
  <c r="EJ732" i="3"/>
  <c r="EO732" i="3"/>
  <c r="ET732" i="3"/>
  <c r="AH732" i="3"/>
  <c r="DU732" i="3"/>
  <c r="DZ732" i="3"/>
  <c r="EE732" i="3"/>
  <c r="N34" i="21"/>
  <c r="CK732" i="3"/>
  <c r="CM732" i="3" s="1"/>
  <c r="CG732" i="3"/>
  <c r="CI732" i="3" s="1"/>
  <c r="O34" i="21" l="1"/>
  <c r="P34" i="21" s="1" a="1"/>
  <c r="P34" i="21" s="1"/>
  <c r="S34" i="21" s="1"/>
  <c r="O33" i="21"/>
  <c r="P33" i="21" s="1" a="1"/>
  <c r="P33" i="21" s="1"/>
  <c r="S33" i="21" s="1"/>
  <c r="O26" i="21"/>
  <c r="P26" i="21" s="1" a="1"/>
  <c r="P26" i="21" s="1"/>
  <c r="S26" i="21" s="1"/>
  <c r="AH731" i="3" l="1"/>
  <c r="AH724" i="3"/>
  <c r="E16" i="7" l="1"/>
  <c r="G16" i="7" s="1"/>
  <c r="K19" i="7"/>
  <c r="M19" i="7" s="1"/>
  <c r="O19" i="7" s="1"/>
  <c r="Q19" i="7" s="1"/>
  <c r="S19" i="7" s="1"/>
  <c r="U19" i="7" s="1"/>
  <c r="W19" i="7" s="1"/>
  <c r="Y19" i="7" s="1"/>
  <c r="AA19" i="7" s="1"/>
  <c r="AC19" i="7" s="1"/>
  <c r="AE19" i="7" s="1"/>
  <c r="AG19" i="7" s="1"/>
  <c r="E21" i="7"/>
  <c r="G21" i="7"/>
  <c r="I21" i="7"/>
  <c r="K21" i="7" s="1"/>
  <c r="M21" i="7" s="1"/>
  <c r="O21" i="7" s="1"/>
  <c r="Q21" i="7" s="1"/>
  <c r="S21" i="7" s="1"/>
  <c r="U21" i="7" s="1"/>
  <c r="W21" i="7" s="1"/>
  <c r="Y21" i="7" s="1"/>
  <c r="AA21" i="7" s="1"/>
  <c r="AC21" i="7" s="1"/>
  <c r="AE21" i="7" s="1"/>
  <c r="AG21" i="7" s="1"/>
  <c r="M27" i="7"/>
  <c r="O27" i="7"/>
  <c r="Q27" i="7" s="1"/>
  <c r="S27" i="7"/>
  <c r="U27" i="7"/>
  <c r="W27" i="7"/>
  <c r="Y27" i="7"/>
  <c r="AA27" i="7"/>
  <c r="AC27" i="7" s="1"/>
  <c r="AE27" i="7" s="1"/>
  <c r="AG27" i="7" s="1"/>
  <c r="W29" i="7"/>
  <c r="AE29" i="7"/>
  <c r="E30" i="7"/>
  <c r="G30" i="7" s="1"/>
  <c r="I30" i="7" s="1"/>
  <c r="K30" i="7" s="1"/>
  <c r="M30" i="7" s="1"/>
  <c r="O30" i="7" s="1"/>
  <c r="Q30" i="7" s="1"/>
  <c r="S30" i="7" s="1"/>
  <c r="U30" i="7" s="1"/>
  <c r="W30" i="7" s="1"/>
  <c r="Y30" i="7" s="1"/>
  <c r="AA30" i="7" s="1"/>
  <c r="AC30" i="7" s="1"/>
  <c r="AE30" i="7" s="1"/>
  <c r="AG30" i="7" s="1"/>
  <c r="E40" i="7"/>
  <c r="G40" i="7"/>
  <c r="G43" i="7" s="1"/>
  <c r="I40" i="7"/>
  <c r="Q40" i="7"/>
  <c r="W40" i="7"/>
  <c r="W43" i="7" s="1"/>
  <c r="AE40" i="7"/>
  <c r="AE43" i="7" s="1"/>
  <c r="AG40" i="7"/>
  <c r="E43" i="7"/>
  <c r="I43" i="7"/>
  <c r="Q43" i="7"/>
  <c r="AG43" i="7"/>
  <c r="BE24" i="3"/>
  <c r="BE39" i="3"/>
  <c r="BE40" i="3"/>
  <c r="BE41" i="3"/>
  <c r="AG437" i="3"/>
  <c r="AG438" i="3"/>
  <c r="AG439" i="3"/>
  <c r="AG440" i="3"/>
  <c r="AG442" i="3"/>
  <c r="AG443" i="3"/>
  <c r="AG444" i="3"/>
  <c r="AG448" i="3"/>
  <c r="AG450" i="3"/>
  <c r="W473" i="3"/>
  <c r="AO13" i="23" s="1"/>
  <c r="AC540" i="3"/>
  <c r="AH540" i="3"/>
  <c r="AC541" i="3"/>
  <c r="AH541" i="3"/>
  <c r="AC542" i="3"/>
  <c r="AH542" i="3"/>
  <c r="AM554" i="3"/>
  <c r="AM555" i="3"/>
  <c r="AM556" i="3"/>
  <c r="AM557" i="3"/>
  <c r="AM558" i="3"/>
  <c r="AM559" i="3"/>
  <c r="AF627" i="3"/>
  <c r="AO627" i="3"/>
  <c r="AO629" i="3"/>
  <c r="AE699" i="3"/>
  <c r="G718" i="3"/>
  <c r="O718" i="3"/>
  <c r="AQ112" i="20" s="1"/>
  <c r="T718" i="3"/>
  <c r="X718" i="3"/>
  <c r="BF718" i="3"/>
  <c r="BS718" i="3"/>
  <c r="O719" i="3"/>
  <c r="X719" i="3"/>
  <c r="G720" i="3"/>
  <c r="CP720" i="3" s="1"/>
  <c r="EZ720" i="3" s="1"/>
  <c r="O720" i="3"/>
  <c r="AC720" i="3"/>
  <c r="AZ720" i="3"/>
  <c r="BF720" i="3"/>
  <c r="BS720" i="3"/>
  <c r="O721" i="3"/>
  <c r="X721" i="3" s="1"/>
  <c r="O722" i="3"/>
  <c r="AQ116" i="20" s="1"/>
  <c r="X722" i="3"/>
  <c r="O723" i="3"/>
  <c r="X723" i="3" s="1"/>
  <c r="O724" i="3"/>
  <c r="AQ118" i="20" s="1"/>
  <c r="X724" i="3"/>
  <c r="O725" i="3"/>
  <c r="X725" i="3" s="1"/>
  <c r="G726" i="3"/>
  <c r="O726" i="3"/>
  <c r="T726" i="3"/>
  <c r="AC726" i="3"/>
  <c r="AZ726" i="3"/>
  <c r="BF726" i="3"/>
  <c r="BS726" i="3"/>
  <c r="CG726" i="3"/>
  <c r="CI726" i="3" s="1"/>
  <c r="CK726" i="3"/>
  <c r="CM726" i="3" s="1"/>
  <c r="CU726" i="3"/>
  <c r="EJ726" i="3"/>
  <c r="G727" i="3"/>
  <c r="CU727" i="3" s="1"/>
  <c r="O727" i="3"/>
  <c r="AC727" i="3"/>
  <c r="AZ727" i="3"/>
  <c r="BF727" i="3"/>
  <c r="BS727" i="3"/>
  <c r="DZ727" i="3"/>
  <c r="ET727" i="3"/>
  <c r="FE727" i="3"/>
  <c r="O728" i="3"/>
  <c r="T728" i="3"/>
  <c r="O729" i="3"/>
  <c r="X729" i="3"/>
  <c r="G730" i="3"/>
  <c r="CZ730" i="3" s="1"/>
  <c r="FJ730" i="3" s="1"/>
  <c r="K730" i="3"/>
  <c r="O730" i="3"/>
  <c r="T730" i="3"/>
  <c r="X730" i="3"/>
  <c r="AC730" i="3"/>
  <c r="AZ730" i="3"/>
  <c r="BF730" i="3"/>
  <c r="BS730" i="3"/>
  <c r="O731" i="3"/>
  <c r="X731" i="3"/>
  <c r="O732" i="3"/>
  <c r="X732" i="3" s="1"/>
  <c r="G733" i="3"/>
  <c r="CZ733" i="3" s="1"/>
  <c r="O733" i="3"/>
  <c r="T733" i="3"/>
  <c r="AZ733" i="3"/>
  <c r="BF733" i="3"/>
  <c r="BS733" i="3"/>
  <c r="O734" i="3"/>
  <c r="AQ128" i="20" s="1"/>
  <c r="T734" i="3"/>
  <c r="FJ734" i="3"/>
  <c r="O735" i="3"/>
  <c r="O736" i="3"/>
  <c r="X736" i="3"/>
  <c r="O737" i="3"/>
  <c r="X737" i="3"/>
  <c r="O738" i="3"/>
  <c r="AQ132" i="20" s="1"/>
  <c r="G739" i="3"/>
  <c r="AV119" i="20" s="1" a="1"/>
  <c r="AV119" i="20" s="1"/>
  <c r="O739" i="3"/>
  <c r="BF739" i="3"/>
  <c r="O740" i="3"/>
  <c r="X740" i="3" s="1"/>
  <c r="O741" i="3"/>
  <c r="X741" i="3"/>
  <c r="O773" i="3"/>
  <c r="O777" i="3" s="1"/>
  <c r="T773" i="3"/>
  <c r="X773" i="3"/>
  <c r="T774" i="3"/>
  <c r="O775" i="3"/>
  <c r="T775" i="3"/>
  <c r="X775" i="3"/>
  <c r="AC775" i="3"/>
  <c r="T776" i="3"/>
  <c r="C798" i="3"/>
  <c r="Z813" i="3"/>
  <c r="Z817" i="3" s="1"/>
  <c r="E8" i="7" s="1"/>
  <c r="Z814" i="3"/>
  <c r="Z815" i="3"/>
  <c r="Z816" i="3"/>
  <c r="W849" i="3"/>
  <c r="W851" i="3"/>
  <c r="W853" i="3"/>
  <c r="W855" i="3" s="1"/>
  <c r="E17" i="7" s="1"/>
  <c r="W854" i="3"/>
  <c r="T858" i="3"/>
  <c r="W863" i="3"/>
  <c r="E19" i="7" s="1"/>
  <c r="G19" i="7" s="1"/>
  <c r="I19" i="7" s="1"/>
  <c r="W866" i="3"/>
  <c r="W867" i="3"/>
  <c r="W872" i="3" s="1"/>
  <c r="E20" i="7" s="1"/>
  <c r="G20" i="7" s="1"/>
  <c r="I20" i="7" s="1"/>
  <c r="K20" i="7" s="1"/>
  <c r="M20" i="7" s="1"/>
  <c r="O20" i="7" s="1"/>
  <c r="Q20" i="7" s="1"/>
  <c r="S20" i="7" s="1"/>
  <c r="U20" i="7" s="1"/>
  <c r="W20" i="7" s="1"/>
  <c r="Y20" i="7" s="1"/>
  <c r="AA20" i="7" s="1"/>
  <c r="AC20" i="7" s="1"/>
  <c r="AE20" i="7" s="1"/>
  <c r="AG20" i="7" s="1"/>
  <c r="W871" i="3"/>
  <c r="W877" i="3"/>
  <c r="W879" i="3"/>
  <c r="AC883" i="3"/>
  <c r="AC886" i="3"/>
  <c r="AC888" i="3"/>
  <c r="E27" i="7" s="1"/>
  <c r="G27" i="7" s="1"/>
  <c r="I27" i="7" s="1"/>
  <c r="K27" i="7" s="1"/>
  <c r="AC889" i="3"/>
  <c r="E28" i="7" s="1"/>
  <c r="AC890" i="3"/>
  <c r="E29" i="7" s="1"/>
  <c r="AC891" i="3"/>
  <c r="AA918" i="3"/>
  <c r="AA949" i="3"/>
  <c r="AA950" i="3"/>
  <c r="AB50" i="15"/>
  <c r="BE62" i="3" s="1"/>
  <c r="AQ113" i="20"/>
  <c r="AQ114" i="20"/>
  <c r="AQ115" i="20"/>
  <c r="AV116" i="20" a="1"/>
  <c r="AV116" i="20" s="1"/>
  <c r="AQ117" i="20"/>
  <c r="AV117" i="20" a="1"/>
  <c r="AV117" i="20" s="1"/>
  <c r="AQ119" i="20"/>
  <c r="AQ121" i="20"/>
  <c r="AQ123" i="20"/>
  <c r="AQ124" i="20"/>
  <c r="AQ125" i="20"/>
  <c r="AQ126" i="20"/>
  <c r="AQ130" i="20"/>
  <c r="AQ131" i="20"/>
  <c r="AQ133" i="20"/>
  <c r="AQ134" i="20"/>
  <c r="AQ135" i="20"/>
  <c r="AD199" i="20"/>
  <c r="AD211" i="20" s="1"/>
  <c r="C7" i="11"/>
  <c r="C9" i="11" s="1"/>
  <c r="B33" i="11"/>
  <c r="C34" i="11"/>
  <c r="D34" i="11" s="1"/>
  <c r="B37" i="11"/>
  <c r="C37" i="11"/>
  <c r="B46" i="11"/>
  <c r="B47" i="11"/>
  <c r="D47" i="11" s="1"/>
  <c r="C47" i="11"/>
  <c r="C50" i="11"/>
  <c r="D50" i="11" s="1"/>
  <c r="C52" i="11"/>
  <c r="C53" i="11"/>
  <c r="B57" i="11"/>
  <c r="C57" i="11"/>
  <c r="C63" i="11" s="1"/>
  <c r="D57" i="11"/>
  <c r="B63" i="11"/>
  <c r="C80" i="11"/>
  <c r="C81" i="11"/>
  <c r="C82" i="11"/>
  <c r="B88" i="11"/>
  <c r="B100" i="11"/>
  <c r="B105" i="11" s="1"/>
  <c r="B33" i="13"/>
  <c r="C33" i="13"/>
  <c r="F33" i="13"/>
  <c r="B36" i="13"/>
  <c r="C36" i="13" s="1"/>
  <c r="B46" i="13"/>
  <c r="C46" i="13" s="1"/>
  <c r="B49" i="13"/>
  <c r="C49" i="13"/>
  <c r="E49" i="13"/>
  <c r="F49" i="13"/>
  <c r="B56" i="13"/>
  <c r="C56" i="13"/>
  <c r="C62" i="13" s="1"/>
  <c r="C79" i="13"/>
  <c r="C87" i="13"/>
  <c r="E87" i="13"/>
  <c r="F87" i="13"/>
  <c r="C88" i="13"/>
  <c r="B99" i="13"/>
  <c r="C99" i="13"/>
  <c r="C104" i="13" s="1"/>
  <c r="B6" i="4"/>
  <c r="C6" i="4"/>
  <c r="D30" i="4"/>
  <c r="AZ1045" i="3" s="1"/>
  <c r="AZ1049" i="3" s="1"/>
  <c r="B31" i="4"/>
  <c r="C31" i="4"/>
  <c r="F31" i="4"/>
  <c r="E31" i="4" s="1"/>
  <c r="R31" i="4" s="1"/>
  <c r="S31" i="4"/>
  <c r="E31" i="13" s="1"/>
  <c r="F31" i="13" s="1"/>
  <c r="B32" i="4"/>
  <c r="C32" i="4"/>
  <c r="B33" i="4"/>
  <c r="C33" i="4"/>
  <c r="B34" i="11" s="1"/>
  <c r="F33" i="4"/>
  <c r="E33" i="4" s="1"/>
  <c r="R33" i="4" s="1"/>
  <c r="S33" i="4"/>
  <c r="E33" i="13" s="1"/>
  <c r="B36" i="4"/>
  <c r="C36" i="4"/>
  <c r="F36" i="4"/>
  <c r="E36" i="4" s="1"/>
  <c r="R36" i="4"/>
  <c r="S36" i="4"/>
  <c r="E36" i="13" s="1"/>
  <c r="F36" i="13" s="1"/>
  <c r="B37" i="4"/>
  <c r="C37" i="4"/>
  <c r="E37" i="4" s="1"/>
  <c r="R37" i="4" s="1"/>
  <c r="F37" i="4"/>
  <c r="C45" i="4"/>
  <c r="B45" i="13" s="1"/>
  <c r="C45" i="13" s="1"/>
  <c r="E45" i="4"/>
  <c r="S45" i="4"/>
  <c r="B46" i="4"/>
  <c r="C46" i="4"/>
  <c r="E46" i="4"/>
  <c r="R46" i="4" s="1"/>
  <c r="S46" i="4"/>
  <c r="E46" i="13" s="1"/>
  <c r="F46" i="13" s="1"/>
  <c r="C48" i="4"/>
  <c r="C54" i="4" s="1"/>
  <c r="B49" i="4"/>
  <c r="C49" i="4"/>
  <c r="B50" i="11" s="1"/>
  <c r="E49" i="4"/>
  <c r="R49" i="4" s="1"/>
  <c r="S49" i="4"/>
  <c r="C51" i="4"/>
  <c r="B51" i="13" s="1"/>
  <c r="C51" i="13" s="1"/>
  <c r="E51" i="4"/>
  <c r="R51" i="4" s="1"/>
  <c r="B52" i="4"/>
  <c r="C52" i="4"/>
  <c r="B52" i="13" s="1"/>
  <c r="C52" i="13" s="1"/>
  <c r="E52" i="4"/>
  <c r="R52" i="4" s="1"/>
  <c r="S52" i="4"/>
  <c r="E52" i="13" s="1"/>
  <c r="F52" i="13" s="1"/>
  <c r="B56" i="4"/>
  <c r="C56" i="4"/>
  <c r="E56" i="4"/>
  <c r="R56" i="4"/>
  <c r="C62" i="4"/>
  <c r="B62" i="4" s="1"/>
  <c r="E62" i="4"/>
  <c r="R62" i="4"/>
  <c r="C75" i="4"/>
  <c r="E75" i="4"/>
  <c r="E77" i="4" s="1"/>
  <c r="R75" i="4"/>
  <c r="R77" i="4" s="1"/>
  <c r="B79" i="4"/>
  <c r="C79" i="4"/>
  <c r="B79" i="13" s="1"/>
  <c r="E79" i="4"/>
  <c r="R79" i="4"/>
  <c r="B80" i="4"/>
  <c r="C80" i="4"/>
  <c r="B80" i="13" s="1"/>
  <c r="C80" i="13" s="1"/>
  <c r="E80" i="4"/>
  <c r="R80" i="4" s="1"/>
  <c r="C81" i="4"/>
  <c r="B81" i="4" s="1"/>
  <c r="R81" i="4"/>
  <c r="C83" i="4"/>
  <c r="E83" i="4"/>
  <c r="R83" i="4"/>
  <c r="C85" i="4"/>
  <c r="B86" i="11" s="1"/>
  <c r="E85" i="4"/>
  <c r="R85" i="4"/>
  <c r="C86" i="4"/>
  <c r="E86" i="4"/>
  <c r="R86" i="4" s="1"/>
  <c r="B87" i="4"/>
  <c r="C87" i="4"/>
  <c r="B87" i="13" s="1"/>
  <c r="E87" i="4"/>
  <c r="R87" i="4" s="1"/>
  <c r="S87" i="4"/>
  <c r="C88" i="4"/>
  <c r="B88" i="13" s="1"/>
  <c r="C99" i="4"/>
  <c r="H99" i="4"/>
  <c r="H104" i="4" s="1"/>
  <c r="H105" i="4" s="1"/>
  <c r="S99" i="4"/>
  <c r="E99" i="13" s="1"/>
  <c r="F99" i="13" s="1"/>
  <c r="F104" i="13" s="1"/>
  <c r="C104" i="4"/>
  <c r="B104" i="13" s="1"/>
  <c r="S104" i="4"/>
  <c r="H108" i="4"/>
  <c r="B4" i="8"/>
  <c r="G4" i="8" s="1"/>
  <c r="D4" i="8"/>
  <c r="D5" i="8"/>
  <c r="B6" i="8"/>
  <c r="D6" i="8"/>
  <c r="G6" i="8"/>
  <c r="D7" i="8"/>
  <c r="D8" i="8"/>
  <c r="D9" i="8"/>
  <c r="D10" i="8"/>
  <c r="D11" i="8"/>
  <c r="B12" i="8"/>
  <c r="G12" i="8" s="1"/>
  <c r="D12" i="8"/>
  <c r="B13" i="8"/>
  <c r="G13" i="8" s="1"/>
  <c r="D13" i="8"/>
  <c r="D15" i="8"/>
  <c r="B16" i="8"/>
  <c r="D16" i="8"/>
  <c r="G16" i="8"/>
  <c r="D17" i="8"/>
  <c r="B19" i="8"/>
  <c r="G19" i="8" s="1"/>
  <c r="D20" i="8"/>
  <c r="D22" i="8"/>
  <c r="D23" i="8"/>
  <c r="D24" i="8"/>
  <c r="B25" i="8"/>
  <c r="D25" i="8"/>
  <c r="G25" i="8"/>
  <c r="D26" i="8"/>
  <c r="D27" i="8"/>
  <c r="M20" i="21"/>
  <c r="M22" i="21"/>
  <c r="T22" i="21"/>
  <c r="U22" i="21"/>
  <c r="E24" i="21"/>
  <c r="F24" i="21"/>
  <c r="G24" i="21"/>
  <c r="E25" i="21"/>
  <c r="F25" i="21"/>
  <c r="G25" i="21"/>
  <c r="M28" i="21"/>
  <c r="N28" i="21"/>
  <c r="R28" i="21" a="1"/>
  <c r="R28" i="21" s="1"/>
  <c r="T28" i="21"/>
  <c r="U28" i="21"/>
  <c r="M29" i="21"/>
  <c r="N29" i="21"/>
  <c r="R29" i="21" a="1"/>
  <c r="R29" i="21" s="1"/>
  <c r="T29" i="21"/>
  <c r="U29" i="21"/>
  <c r="M32" i="21"/>
  <c r="N32" i="21"/>
  <c r="M35" i="21"/>
  <c r="R35" i="21" a="1"/>
  <c r="R35" i="21"/>
  <c r="T35" i="21"/>
  <c r="U35" i="21"/>
  <c r="E9" i="7" l="1"/>
  <c r="G8" i="7"/>
  <c r="B54" i="4"/>
  <c r="B54" i="13"/>
  <c r="G40" i="8"/>
  <c r="C76" i="11"/>
  <c r="B75" i="4"/>
  <c r="B76" i="11"/>
  <c r="B78" i="11" s="1"/>
  <c r="B83" i="13"/>
  <c r="C83" i="13" s="1"/>
  <c r="B83" i="4"/>
  <c r="R45" i="4"/>
  <c r="X735" i="3"/>
  <c r="AQ129" i="20"/>
  <c r="D21" i="8"/>
  <c r="E26" i="21"/>
  <c r="R32" i="21" a="1"/>
  <c r="R32" i="21" s="1"/>
  <c r="S32" i="21"/>
  <c r="T32" i="21"/>
  <c r="U32" i="21"/>
  <c r="EC644" i="3"/>
  <c r="I16" i="7"/>
  <c r="G17" i="7"/>
  <c r="I17" i="7" s="1"/>
  <c r="K17" i="7" s="1"/>
  <c r="M17" i="7" s="1"/>
  <c r="O17" i="7" s="1"/>
  <c r="Q17" i="7" s="1"/>
  <c r="S17" i="7" s="1"/>
  <c r="U17" i="7" s="1"/>
  <c r="W17" i="7" s="1"/>
  <c r="Y17" i="7" s="1"/>
  <c r="AA17" i="7" s="1"/>
  <c r="AC17" i="7" s="1"/>
  <c r="AE17" i="7" s="1"/>
  <c r="AG17" i="7" s="1"/>
  <c r="E22" i="7"/>
  <c r="E35" i="7" s="1"/>
  <c r="CG730" i="3"/>
  <c r="CI730" i="3" s="1"/>
  <c r="DZ730" i="3"/>
  <c r="EE730" i="3"/>
  <c r="EJ730" i="3"/>
  <c r="AH730" i="3"/>
  <c r="CK730" i="3"/>
  <c r="CM730" i="3" s="1"/>
  <c r="DU730" i="3"/>
  <c r="EO730" i="3"/>
  <c r="ET730" i="3"/>
  <c r="C54" i="13"/>
  <c r="B48" i="13"/>
  <c r="C48" i="13" s="1"/>
  <c r="B31" i="13"/>
  <c r="C31" i="13" s="1"/>
  <c r="B32" i="11"/>
  <c r="C32" i="11"/>
  <c r="D32" i="11" s="1"/>
  <c r="C84" i="11"/>
  <c r="C86" i="11"/>
  <c r="D86" i="11" s="1"/>
  <c r="B85" i="13"/>
  <c r="C85" i="13" s="1"/>
  <c r="D63" i="11"/>
  <c r="B84" i="11"/>
  <c r="FE726" i="3"/>
  <c r="CU753" i="3"/>
  <c r="R20" i="21" a="1"/>
  <c r="R20" i="21" s="1"/>
  <c r="T20" i="21"/>
  <c r="U20" i="21"/>
  <c r="C81" i="13"/>
  <c r="BF753" i="3"/>
  <c r="C13" i="11"/>
  <c r="E45" i="13"/>
  <c r="F45" i="13" s="1"/>
  <c r="S54" i="4"/>
  <c r="E54" i="13" s="1"/>
  <c r="M18" i="21"/>
  <c r="S37" i="4"/>
  <c r="E37" i="13" s="1"/>
  <c r="F37" i="13" s="1"/>
  <c r="C38" i="11"/>
  <c r="D38" i="11" s="1"/>
  <c r="B37" i="13"/>
  <c r="C37" i="13" s="1"/>
  <c r="K29" i="7"/>
  <c r="M29" i="7"/>
  <c r="O29" i="7"/>
  <c r="S29" i="7"/>
  <c r="U29" i="7"/>
  <c r="Y29" i="7"/>
  <c r="AA29" i="7"/>
  <c r="AC29" i="7"/>
  <c r="G29" i="7"/>
  <c r="Q29" i="7"/>
  <c r="I29" i="7"/>
  <c r="C49" i="11"/>
  <c r="B48" i="4"/>
  <c r="S48" i="4"/>
  <c r="E48" i="13" s="1"/>
  <c r="F48" i="13" s="1"/>
  <c r="E48" i="4"/>
  <c r="R48" i="4" s="1"/>
  <c r="B49" i="11"/>
  <c r="B55" i="11" s="1"/>
  <c r="B7" i="11"/>
  <c r="B6" i="13"/>
  <c r="C6" i="13" s="1"/>
  <c r="C8" i="13" s="1"/>
  <c r="E6" i="4"/>
  <c r="C8" i="4"/>
  <c r="I28" i="7"/>
  <c r="K28" i="7"/>
  <c r="O28" i="7"/>
  <c r="Q28" i="7"/>
  <c r="S28" i="7"/>
  <c r="AA28" i="7"/>
  <c r="G28" i="7"/>
  <c r="M28" i="7"/>
  <c r="U28" i="7"/>
  <c r="W28" i="7"/>
  <c r="Y28" i="7"/>
  <c r="AC28" i="7"/>
  <c r="AE28" i="7"/>
  <c r="AG28" i="7"/>
  <c r="EH647" i="3"/>
  <c r="AM566" i="3"/>
  <c r="AO640" i="3" s="1"/>
  <c r="E108" i="4" s="1"/>
  <c r="I9" i="21"/>
  <c r="BE21" i="3"/>
  <c r="FE728" i="3"/>
  <c r="EC645" i="3" s="1"/>
  <c r="D14" i="8"/>
  <c r="AQ122" i="20"/>
  <c r="B75" i="13"/>
  <c r="C75" i="13" s="1"/>
  <c r="C77" i="13" s="1"/>
  <c r="B85" i="4"/>
  <c r="P32" i="21" a="1"/>
  <c r="P32" i="21" s="1"/>
  <c r="C77" i="4"/>
  <c r="B38" i="11"/>
  <c r="X733" i="3"/>
  <c r="AQ127" i="20"/>
  <c r="D19" i="8"/>
  <c r="FJ733" i="3"/>
  <c r="EH650" i="3" s="1"/>
  <c r="C96" i="4"/>
  <c r="O32" i="21"/>
  <c r="E104" i="13"/>
  <c r="BA1058" i="3"/>
  <c r="S85" i="4"/>
  <c r="X728" i="3"/>
  <c r="AH728" i="3" s="1"/>
  <c r="AG29" i="7"/>
  <c r="S51" i="4"/>
  <c r="E51" i="13" s="1"/>
  <c r="F51" i="13" s="1"/>
  <c r="AV121" i="20" a="1"/>
  <c r="AV121" i="20" s="1"/>
  <c r="CG720" i="3"/>
  <c r="CI720" i="3" s="1"/>
  <c r="CK720" i="3"/>
  <c r="CM720" i="3" s="1"/>
  <c r="DU720" i="3"/>
  <c r="EE720" i="3"/>
  <c r="EJ720" i="3"/>
  <c r="EO720" i="3"/>
  <c r="R22" i="21" a="1"/>
  <c r="R22" i="21" s="1"/>
  <c r="E88" i="4"/>
  <c r="R88" i="4" s="1"/>
  <c r="R96" i="4" s="1"/>
  <c r="B45" i="4"/>
  <c r="B62" i="13"/>
  <c r="B81" i="11"/>
  <c r="D81" i="11" s="1"/>
  <c r="X734" i="3"/>
  <c r="AH734" i="3" s="1"/>
  <c r="AC718" i="3"/>
  <c r="AV120" i="20" a="1"/>
  <c r="AV120" i="20" s="1"/>
  <c r="AZ718" i="3"/>
  <c r="G753" i="3"/>
  <c r="O753" i="3"/>
  <c r="CP718" i="3"/>
  <c r="B104" i="4"/>
  <c r="S80" i="4"/>
  <c r="E80" i="13" s="1"/>
  <c r="F80" i="13" s="1"/>
  <c r="B51" i="4"/>
  <c r="B80" i="11"/>
  <c r="CZ753" i="3"/>
  <c r="X738" i="3"/>
  <c r="DU726" i="3"/>
  <c r="DZ726" i="3"/>
  <c r="EE726" i="3"/>
  <c r="EO726" i="3"/>
  <c r="ET726" i="3"/>
  <c r="AH726" i="3"/>
  <c r="N22" i="21"/>
  <c r="AZ1052" i="3"/>
  <c r="AO639" i="3"/>
  <c r="F108" i="4"/>
  <c r="N10" i="23"/>
  <c r="DE739" i="3"/>
  <c r="T739" i="3"/>
  <c r="X739" i="3" s="1"/>
  <c r="AC739" i="3"/>
  <c r="AZ739" i="3"/>
  <c r="BS739" i="3"/>
  <c r="BS753" i="3" s="1"/>
  <c r="B52" i="11"/>
  <c r="D52" i="11" s="1"/>
  <c r="C89" i="11"/>
  <c r="AQ120" i="20"/>
  <c r="X726" i="3"/>
  <c r="AG441" i="3"/>
  <c r="AG445" i="3" s="1"/>
  <c r="T212" i="3"/>
  <c r="D18" i="8"/>
  <c r="B81" i="13"/>
  <c r="B89" i="11"/>
  <c r="CG727" i="3"/>
  <c r="CI727" i="3" s="1"/>
  <c r="CK727" i="3"/>
  <c r="CM727" i="3" s="1"/>
  <c r="DU727" i="3"/>
  <c r="EE727" i="3"/>
  <c r="EJ727" i="3"/>
  <c r="EO727" i="3"/>
  <c r="B88" i="4"/>
  <c r="C30" i="4"/>
  <c r="C100" i="11"/>
  <c r="B99" i="4"/>
  <c r="E99" i="4"/>
  <c r="S79" i="4"/>
  <c r="ET720" i="3"/>
  <c r="AV118" i="20" a="1"/>
  <c r="AV118" i="20" s="1"/>
  <c r="DZ720" i="3"/>
  <c r="BA1038" i="3"/>
  <c r="K40" i="7"/>
  <c r="K43" i="7" s="1"/>
  <c r="M40" i="7"/>
  <c r="M43" i="7" s="1"/>
  <c r="O40" i="7"/>
  <c r="O43" i="7" s="1"/>
  <c r="S40" i="7"/>
  <c r="S43" i="7" s="1"/>
  <c r="U40" i="7"/>
  <c r="U43" i="7" s="1"/>
  <c r="Y40" i="7"/>
  <c r="Y43" i="7" s="1"/>
  <c r="AA40" i="7"/>
  <c r="AA43" i="7" s="1"/>
  <c r="AC40" i="7"/>
  <c r="AC43" i="7" s="1"/>
  <c r="M41" i="21"/>
  <c r="B86" i="13"/>
  <c r="C86" i="13" s="1"/>
  <c r="S86" i="4"/>
  <c r="E86" i="13" s="1"/>
  <c r="F86" i="13" s="1"/>
  <c r="B87" i="11"/>
  <c r="E81" i="4"/>
  <c r="D38" i="4"/>
  <c r="D63" i="4" s="1"/>
  <c r="D97" i="4" s="1"/>
  <c r="D105" i="4" s="1"/>
  <c r="AC773" i="3"/>
  <c r="AC777" i="3" s="1"/>
  <c r="B86" i="4"/>
  <c r="C33" i="11"/>
  <c r="D33" i="11" s="1"/>
  <c r="F32" i="4"/>
  <c r="E32" i="4" s="1"/>
  <c r="R32" i="4" s="1"/>
  <c r="B32" i="13"/>
  <c r="C32" i="13" s="1"/>
  <c r="S32" i="4"/>
  <c r="E32" i="13" s="1"/>
  <c r="F32" i="13" s="1"/>
  <c r="C87" i="11"/>
  <c r="D87" i="11" s="1"/>
  <c r="C46" i="11"/>
  <c r="AF418" i="3"/>
  <c r="AP582" i="20" s="1"/>
  <c r="AC733" i="3"/>
  <c r="T727" i="3"/>
  <c r="X727" i="3" s="1"/>
  <c r="AH727" i="3" s="1"/>
  <c r="T720" i="3"/>
  <c r="X720" i="3" s="1"/>
  <c r="AH720" i="3" s="1"/>
  <c r="C88" i="11"/>
  <c r="D88" i="11" s="1"/>
  <c r="B53" i="11"/>
  <c r="D53" i="11" s="1"/>
  <c r="BT725" i="3" l="1"/>
  <c r="BU725" i="3" s="1"/>
  <c r="BT738" i="3"/>
  <c r="BU738" i="3" s="1"/>
  <c r="BT722" i="3"/>
  <c r="BU722" i="3" s="1"/>
  <c r="BT742" i="3"/>
  <c r="BU742" i="3" s="1"/>
  <c r="BT747" i="3"/>
  <c r="BU747" i="3" s="1"/>
  <c r="BT752" i="3"/>
  <c r="BU752" i="3" s="1"/>
  <c r="BT719" i="3"/>
  <c r="BU719" i="3" s="1"/>
  <c r="BT729" i="3"/>
  <c r="BU729" i="3" s="1"/>
  <c r="BT718" i="3"/>
  <c r="BT723" i="3"/>
  <c r="BU723" i="3" s="1"/>
  <c r="BT736" i="3"/>
  <c r="BU736" i="3" s="1"/>
  <c r="BT726" i="3"/>
  <c r="BU726" i="3" s="1"/>
  <c r="BT730" i="3"/>
  <c r="BU730" i="3" s="1"/>
  <c r="BT733" i="3"/>
  <c r="BT728" i="3"/>
  <c r="BU728" i="3" s="1"/>
  <c r="BT746" i="3"/>
  <c r="BU746" i="3" s="1"/>
  <c r="BT737" i="3"/>
  <c r="BU737" i="3" s="1"/>
  <c r="BT740" i="3"/>
  <c r="BU740" i="3" s="1"/>
  <c r="BT748" i="3"/>
  <c r="BU748" i="3" s="1"/>
  <c r="BT749" i="3"/>
  <c r="BU749" i="3" s="1"/>
  <c r="BT721" i="3"/>
  <c r="BU721" i="3" s="1"/>
  <c r="BT731" i="3"/>
  <c r="BU731" i="3" s="1"/>
  <c r="BT727" i="3"/>
  <c r="BU727" i="3" s="1"/>
  <c r="BT741" i="3"/>
  <c r="BU741" i="3" s="1"/>
  <c r="BT750" i="3"/>
  <c r="BU750" i="3" s="1"/>
  <c r="BT751" i="3"/>
  <c r="BU751" i="3" s="1"/>
  <c r="BT720" i="3"/>
  <c r="BU720" i="3" s="1"/>
  <c r="BT739" i="3"/>
  <c r="BU739" i="3" s="1"/>
  <c r="BT745" i="3"/>
  <c r="BU745" i="3" s="1"/>
  <c r="BT734" i="3"/>
  <c r="BU734" i="3" s="1"/>
  <c r="BT744" i="3"/>
  <c r="BU744" i="3" s="1"/>
  <c r="BT724" i="3"/>
  <c r="BU724" i="3" s="1"/>
  <c r="BT735" i="3"/>
  <c r="BU735" i="3" s="1"/>
  <c r="BT743" i="3"/>
  <c r="BU743" i="3" s="1"/>
  <c r="BT732" i="3"/>
  <c r="BU732" i="3" s="1"/>
  <c r="AW118" i="20"/>
  <c r="B77" i="13"/>
  <c r="B77" i="4"/>
  <c r="D49" i="11"/>
  <c r="Y27" i="15"/>
  <c r="AD27" i="15"/>
  <c r="AD28" i="15" s="1"/>
  <c r="AI27" i="15"/>
  <c r="AI28" i="15" s="1"/>
  <c r="T27" i="15"/>
  <c r="D89" i="11"/>
  <c r="N188" i="23"/>
  <c r="R99" i="4"/>
  <c r="R104" i="4" s="1"/>
  <c r="E104" i="4"/>
  <c r="G9" i="7"/>
  <c r="I8" i="7"/>
  <c r="D46" i="11"/>
  <c r="C55" i="11"/>
  <c r="D55" i="11" s="1"/>
  <c r="B96" i="13"/>
  <c r="B96" i="4"/>
  <c r="BG722" i="3"/>
  <c r="BH722" i="3" s="1"/>
  <c r="BG742" i="3"/>
  <c r="BH742" i="3" s="1"/>
  <c r="BG747" i="3"/>
  <c r="BH747" i="3" s="1"/>
  <c r="BG752" i="3"/>
  <c r="BH752" i="3" s="1"/>
  <c r="BG732" i="3"/>
  <c r="BH732" i="3" s="1"/>
  <c r="BG735" i="3"/>
  <c r="BH735" i="3" s="1"/>
  <c r="BG718" i="3"/>
  <c r="BG743" i="3"/>
  <c r="BH743" i="3" s="1"/>
  <c r="BG748" i="3"/>
  <c r="BH748" i="3" s="1"/>
  <c r="BG736" i="3"/>
  <c r="BH736" i="3" s="1"/>
  <c r="BG744" i="3"/>
  <c r="BH744" i="3" s="1"/>
  <c r="BG749" i="3"/>
  <c r="BH749" i="3" s="1"/>
  <c r="BG733" i="3"/>
  <c r="BH733" i="3" s="1"/>
  <c r="BG737" i="3"/>
  <c r="BH737" i="3" s="1"/>
  <c r="BG750" i="3"/>
  <c r="BH750" i="3" s="1"/>
  <c r="BG728" i="3"/>
  <c r="BH728" i="3" s="1"/>
  <c r="BG746" i="3"/>
  <c r="BH746" i="3" s="1"/>
  <c r="BG725" i="3"/>
  <c r="BH725" i="3" s="1"/>
  <c r="BG740" i="3"/>
  <c r="BH740" i="3" s="1"/>
  <c r="BG741" i="3"/>
  <c r="BH741" i="3" s="1"/>
  <c r="BG721" i="3"/>
  <c r="BH721" i="3" s="1"/>
  <c r="BG719" i="3"/>
  <c r="BH719" i="3" s="1"/>
  <c r="BG729" i="3"/>
  <c r="BH729" i="3" s="1"/>
  <c r="BG727" i="3"/>
  <c r="BH727" i="3" s="1"/>
  <c r="BG731" i="3"/>
  <c r="BH731" i="3" s="1"/>
  <c r="BG738" i="3"/>
  <c r="BH738" i="3" s="1"/>
  <c r="BG726" i="3"/>
  <c r="BH726" i="3" s="1"/>
  <c r="BG734" i="3"/>
  <c r="BH734" i="3" s="1"/>
  <c r="BG739" i="3"/>
  <c r="BH739" i="3" s="1"/>
  <c r="BG745" i="3"/>
  <c r="BH745" i="3" s="1"/>
  <c r="BG751" i="3"/>
  <c r="BH751" i="3" s="1"/>
  <c r="BG723" i="3"/>
  <c r="BH723" i="3" s="1"/>
  <c r="BG724" i="3"/>
  <c r="BH724" i="3" s="1"/>
  <c r="BG730" i="3"/>
  <c r="BH730" i="3" s="1"/>
  <c r="BG720" i="3"/>
  <c r="BH720" i="3" s="1"/>
  <c r="T41" i="21"/>
  <c r="T18" i="21" s="1"/>
  <c r="G51" i="21" s="1"/>
  <c r="S41" i="21"/>
  <c r="E27" i="21"/>
  <c r="E29" i="21" s="1"/>
  <c r="O41" i="21"/>
  <c r="P41" i="21" a="1"/>
  <c r="P41" i="21" s="1"/>
  <c r="R41" i="21" a="1"/>
  <c r="R41" i="21" s="1"/>
  <c r="U41" i="21"/>
  <c r="D100" i="11"/>
  <c r="C105" i="11"/>
  <c r="D105" i="11" s="1"/>
  <c r="G22" i="7"/>
  <c r="G35" i="7" s="1"/>
  <c r="E96" i="4"/>
  <c r="EH642" i="3"/>
  <c r="EH652" i="3"/>
  <c r="EH657" i="3"/>
  <c r="EH662" i="3"/>
  <c r="EH667" i="3"/>
  <c r="EH638" i="3"/>
  <c r="EH643" i="3"/>
  <c r="EH648" i="3"/>
  <c r="EH653" i="3"/>
  <c r="EH658" i="3"/>
  <c r="EH663" i="3"/>
  <c r="EH668" i="3"/>
  <c r="EH639" i="3"/>
  <c r="EH644" i="3"/>
  <c r="EH649" i="3"/>
  <c r="EH654" i="3"/>
  <c r="EH659" i="3"/>
  <c r="EH664" i="3"/>
  <c r="EH669" i="3"/>
  <c r="EH645" i="3"/>
  <c r="EH655" i="3"/>
  <c r="EH660" i="3"/>
  <c r="EH665" i="3"/>
  <c r="EH666" i="3"/>
  <c r="EH640" i="3"/>
  <c r="EH661" i="3"/>
  <c r="EH641" i="3"/>
  <c r="EH635" i="3"/>
  <c r="EH636" i="3"/>
  <c r="CZ802" i="3"/>
  <c r="AB988" i="3" s="1"/>
  <c r="AJ988" i="3" s="1"/>
  <c r="EH646" i="3"/>
  <c r="DD755" i="3"/>
  <c r="EH656" i="3"/>
  <c r="EH637" i="3"/>
  <c r="E79" i="13"/>
  <c r="F79" i="13" s="1"/>
  <c r="F81" i="13" s="1"/>
  <c r="S81" i="4"/>
  <c r="E81" i="13" s="1"/>
  <c r="C38" i="4"/>
  <c r="B30" i="4"/>
  <c r="F30" i="4"/>
  <c r="F38" i="4" s="1"/>
  <c r="B31" i="11"/>
  <c r="B39" i="11" s="1"/>
  <c r="C31" i="11"/>
  <c r="B30" i="13"/>
  <c r="C30" i="13" s="1"/>
  <c r="C38" i="13" s="1"/>
  <c r="E30" i="4"/>
  <c r="S30" i="4"/>
  <c r="DU739" i="3"/>
  <c r="DZ739" i="3"/>
  <c r="EJ739" i="3"/>
  <c r="EO739" i="3"/>
  <c r="AH739" i="3"/>
  <c r="EE739" i="3"/>
  <c r="ET739" i="3"/>
  <c r="N41" i="21"/>
  <c r="CG739" i="3"/>
  <c r="CI739" i="3" s="1"/>
  <c r="CK739" i="3"/>
  <c r="CM739" i="3" s="1"/>
  <c r="EZ718" i="3"/>
  <c r="CP753" i="3"/>
  <c r="D84" i="11"/>
  <c r="C97" i="11"/>
  <c r="AF1014" i="3"/>
  <c r="BA1042" i="3"/>
  <c r="BD1051" i="3" s="1" a="1"/>
  <c r="BD1051" i="3" s="1"/>
  <c r="F54" i="13"/>
  <c r="BE68" i="3"/>
  <c r="D80" i="11"/>
  <c r="B82" i="11"/>
  <c r="D82" i="11" s="1"/>
  <c r="D40" i="8"/>
  <c r="Y800" i="3"/>
  <c r="Y801" i="3"/>
  <c r="R54" i="4"/>
  <c r="FO739" i="3"/>
  <c r="DE753" i="3"/>
  <c r="Y69" i="15"/>
  <c r="AX690" i="20"/>
  <c r="AY1003" i="3"/>
  <c r="C757" i="3"/>
  <c r="AC884" i="3"/>
  <c r="AC885" i="3" s="1"/>
  <c r="B8" i="13"/>
  <c r="B8" i="4"/>
  <c r="C63" i="4"/>
  <c r="C12" i="4"/>
  <c r="B12" i="13" s="1"/>
  <c r="EC642" i="3"/>
  <c r="EC647" i="3"/>
  <c r="EC652" i="3"/>
  <c r="EC657" i="3"/>
  <c r="EC662" i="3"/>
  <c r="EC667" i="3"/>
  <c r="EC638" i="3"/>
  <c r="EC648" i="3"/>
  <c r="EC653" i="3"/>
  <c r="EC658" i="3"/>
  <c r="EC663" i="3"/>
  <c r="EC668" i="3"/>
  <c r="EC649" i="3"/>
  <c r="EC654" i="3"/>
  <c r="EC659" i="3"/>
  <c r="EC664" i="3"/>
  <c r="EC669" i="3"/>
  <c r="EC635" i="3"/>
  <c r="EC636" i="3"/>
  <c r="EC640" i="3"/>
  <c r="EC650" i="3"/>
  <c r="EC641" i="3"/>
  <c r="EC660" i="3"/>
  <c r="EC651" i="3"/>
  <c r="EC661" i="3"/>
  <c r="CU802" i="3"/>
  <c r="AB987" i="3" s="1"/>
  <c r="AJ987" i="3" s="1"/>
  <c r="EC646" i="3"/>
  <c r="EC637" i="3"/>
  <c r="CY755" i="3"/>
  <c r="EC666" i="3"/>
  <c r="EC655" i="3"/>
  <c r="EC665" i="3"/>
  <c r="EC639" i="3"/>
  <c r="EC656" i="3"/>
  <c r="E54" i="4"/>
  <c r="K16" i="7"/>
  <c r="I22" i="7"/>
  <c r="I35" i="7" s="1"/>
  <c r="D76" i="11"/>
  <c r="C78" i="11"/>
  <c r="D78" i="11" s="1"/>
  <c r="S96" i="4"/>
  <c r="E96" i="13" s="1"/>
  <c r="E85" i="13"/>
  <c r="F85" i="13" s="1"/>
  <c r="F96" i="13" s="1"/>
  <c r="R6" i="4"/>
  <c r="R8" i="4" s="1"/>
  <c r="E8" i="4"/>
  <c r="G143" i="21"/>
  <c r="G144" i="21"/>
  <c r="EC643" i="3"/>
  <c r="FE753" i="3"/>
  <c r="CK733" i="3"/>
  <c r="CM733" i="3" s="1"/>
  <c r="DZ733" i="3"/>
  <c r="EE733" i="3"/>
  <c r="EO733" i="3"/>
  <c r="ET733" i="3"/>
  <c r="N35" i="21"/>
  <c r="CG733" i="3"/>
  <c r="CI733" i="3" s="1"/>
  <c r="DU733" i="3"/>
  <c r="EJ733" i="3"/>
  <c r="AH733" i="3"/>
  <c r="F40" i="4"/>
  <c r="B97" i="11"/>
  <c r="C12" i="13"/>
  <c r="C63" i="13"/>
  <c r="C97" i="13" s="1"/>
  <c r="C105" i="13" s="1"/>
  <c r="EH651" i="3"/>
  <c r="Y607" i="20"/>
  <c r="AP587" i="20"/>
  <c r="AO641" i="3"/>
  <c r="AB48" i="15"/>
  <c r="AH718" i="3"/>
  <c r="AH21" i="23" a="1"/>
  <c r="AH21" i="23" s="1"/>
  <c r="V23" i="23" a="1"/>
  <c r="V23" i="23" s="1"/>
  <c r="V20" i="23" a="1"/>
  <c r="V20" i="23" s="1"/>
  <c r="AH23" i="23" a="1"/>
  <c r="AH23" i="23" s="1"/>
  <c r="AB20" i="23" a="1"/>
  <c r="AB20" i="23" s="1"/>
  <c r="CG718" i="3"/>
  <c r="CI718" i="3" s="1"/>
  <c r="AH20" i="23" a="1"/>
  <c r="AH20" i="23" s="1"/>
  <c r="V22" i="23" a="1"/>
  <c r="V22" i="23" s="1"/>
  <c r="DZ718" i="3"/>
  <c r="AH22" i="23" a="1"/>
  <c r="AH22" i="23" s="1"/>
  <c r="AN24" i="23" a="1"/>
  <c r="AN24" i="23" s="1"/>
  <c r="BE5" i="3"/>
  <c r="EE718" i="3"/>
  <c r="AN19" i="23" a="1"/>
  <c r="AN19" i="23" s="1"/>
  <c r="BE6" i="3"/>
  <c r="EJ718" i="3"/>
  <c r="P20" i="23" a="1"/>
  <c r="P20" i="23" s="1"/>
  <c r="AN22" i="23" a="1"/>
  <c r="AN22" i="23" s="1"/>
  <c r="P21" i="23" a="1"/>
  <c r="P21" i="23" s="1"/>
  <c r="EO718" i="3"/>
  <c r="ET718" i="3"/>
  <c r="AN23" i="23" a="1"/>
  <c r="AN23" i="23" s="1"/>
  <c r="AN20" i="23" a="1"/>
  <c r="AN20" i="23" s="1"/>
  <c r="P23" i="23" a="1"/>
  <c r="P23" i="23" s="1"/>
  <c r="J23" i="23" s="1"/>
  <c r="E104" i="20"/>
  <c r="AB23" i="23" a="1"/>
  <c r="AB23" i="23" s="1"/>
  <c r="E105" i="20"/>
  <c r="P24" i="23" a="1"/>
  <c r="P24" i="23" s="1"/>
  <c r="V21" i="23" a="1"/>
  <c r="V21" i="23" s="1"/>
  <c r="AB24" i="23" a="1"/>
  <c r="AB24" i="23" s="1"/>
  <c r="AN21" i="23" a="1"/>
  <c r="AN21" i="23" s="1"/>
  <c r="AB22" i="23" a="1"/>
  <c r="AB22" i="23" s="1"/>
  <c r="AH24" i="23" a="1"/>
  <c r="AH24" i="23" s="1"/>
  <c r="N20" i="21"/>
  <c r="P19" i="23" a="1"/>
  <c r="P19" i="23" s="1"/>
  <c r="V19" i="23" a="1"/>
  <c r="V19" i="23" s="1"/>
  <c r="V29" i="23" s="1"/>
  <c r="CK718" i="3"/>
  <c r="CM718" i="3" s="1"/>
  <c r="AB19" i="23" a="1"/>
  <c r="AB19" i="23" s="1"/>
  <c r="P22" i="23" a="1"/>
  <c r="P22" i="23" s="1"/>
  <c r="V24" i="23" a="1"/>
  <c r="V24" i="23" s="1"/>
  <c r="DU718" i="3"/>
  <c r="AH19" i="23" a="1"/>
  <c r="AH19" i="23" s="1"/>
  <c r="AB21" i="23" a="1"/>
  <c r="AB21" i="23" s="1"/>
  <c r="FJ753" i="3"/>
  <c r="D7" i="11"/>
  <c r="B9" i="11"/>
  <c r="C96" i="13"/>
  <c r="AV122" i="20"/>
  <c r="G61" i="21" l="1"/>
  <c r="F27" i="21"/>
  <c r="G27" i="21" s="1"/>
  <c r="F28" i="21"/>
  <c r="G28" i="21" s="1"/>
  <c r="G52" i="21"/>
  <c r="G54" i="21"/>
  <c r="G56" i="21" s="1"/>
  <c r="E12" i="21" s="1"/>
  <c r="FO753" i="3"/>
  <c r="EM656" i="3"/>
  <c r="I9" i="7"/>
  <c r="K8" i="7"/>
  <c r="AW116" i="20"/>
  <c r="AW117" i="20"/>
  <c r="AW119" i="20"/>
  <c r="EE753" i="3"/>
  <c r="F26" i="21"/>
  <c r="B64" i="11"/>
  <c r="B98" i="11" s="1"/>
  <c r="B106" i="11" s="1"/>
  <c r="B13" i="11"/>
  <c r="D13" i="11" s="1"/>
  <c r="D9" i="11"/>
  <c r="DZ753" i="3"/>
  <c r="AW121" i="20"/>
  <c r="AD136" i="20" s="1"/>
  <c r="BU733" i="3"/>
  <c r="AN29" i="23"/>
  <c r="CI753" i="3"/>
  <c r="R12" i="4"/>
  <c r="E38" i="4"/>
  <c r="R30" i="4"/>
  <c r="R38" i="4" s="1"/>
  <c r="J24" i="23"/>
  <c r="S38" i="4"/>
  <c r="E30" i="13"/>
  <c r="F30" i="13" s="1"/>
  <c r="F38" i="13" s="1"/>
  <c r="F63" i="13" s="1"/>
  <c r="F97" i="13" s="1"/>
  <c r="F105" i="13" s="1"/>
  <c r="F107" i="13" s="1"/>
  <c r="AH29" i="23"/>
  <c r="AW120" i="20"/>
  <c r="Y136" i="20" s="1"/>
  <c r="BE8" i="3"/>
  <c r="DU753" i="3"/>
  <c r="D31" i="11"/>
  <c r="C39" i="11"/>
  <c r="BU718" i="3"/>
  <c r="BU753" i="3" s="1"/>
  <c r="AH753" i="3" s="1"/>
  <c r="BE43" i="3" s="1"/>
  <c r="BT753" i="3"/>
  <c r="EH670" i="3"/>
  <c r="O130" i="20" s="1"/>
  <c r="O133" i="20" s="1"/>
  <c r="O136" i="20" s="1"/>
  <c r="E40" i="4"/>
  <c r="F42" i="4"/>
  <c r="F63" i="4" s="1"/>
  <c r="F97" i="4" s="1"/>
  <c r="F105" i="4" s="1"/>
  <c r="B63" i="13"/>
  <c r="C97" i="4"/>
  <c r="BH718" i="3"/>
  <c r="BH753" i="3" s="1"/>
  <c r="AC753" i="3" s="1"/>
  <c r="BG753" i="3"/>
  <c r="G94" i="21"/>
  <c r="AJ621" i="20"/>
  <c r="AK794" i="20" s="1"/>
  <c r="T819" i="20" s="1"/>
  <c r="AF819" i="20" s="1"/>
  <c r="BE82" i="3" s="1"/>
  <c r="ET753" i="3"/>
  <c r="J22" i="23"/>
  <c r="EC670" i="3"/>
  <c r="J130" i="20" s="1"/>
  <c r="J133" i="20" s="1"/>
  <c r="J136" i="20" s="1"/>
  <c r="B12" i="4"/>
  <c r="N189" i="23"/>
  <c r="N195" i="23" s="1"/>
  <c r="B63" i="4"/>
  <c r="D97" i="11"/>
  <c r="E4" i="7"/>
  <c r="Z818" i="3"/>
  <c r="AB29" i="23"/>
  <c r="EO753" i="3"/>
  <c r="EM642" i="3"/>
  <c r="EM647" i="3"/>
  <c r="EM652" i="3"/>
  <c r="EM657" i="3"/>
  <c r="EM662" i="3"/>
  <c r="EM667" i="3"/>
  <c r="EM639" i="3"/>
  <c r="EM640" i="3"/>
  <c r="EM648" i="3"/>
  <c r="AX691" i="20"/>
  <c r="AX694" i="20" s="1"/>
  <c r="EM635" i="3"/>
  <c r="EM649" i="3"/>
  <c r="EM666" i="3"/>
  <c r="EM658" i="3"/>
  <c r="EM659" i="3"/>
  <c r="EM650" i="3"/>
  <c r="EM668" i="3"/>
  <c r="EM669" i="3"/>
  <c r="EM641" i="3"/>
  <c r="EM660" i="3"/>
  <c r="EM643" i="3"/>
  <c r="EM651" i="3"/>
  <c r="EM644" i="3"/>
  <c r="EM661" i="3"/>
  <c r="EM636" i="3"/>
  <c r="EM654" i="3"/>
  <c r="EM653" i="3"/>
  <c r="EM663" i="3"/>
  <c r="DE802" i="3"/>
  <c r="AB989" i="3" s="1"/>
  <c r="AJ989" i="3" s="1"/>
  <c r="EM665" i="3"/>
  <c r="EM646" i="3"/>
  <c r="EM645" i="3"/>
  <c r="DI755" i="3"/>
  <c r="EM655" i="3"/>
  <c r="EM664" i="3"/>
  <c r="EM637" i="3"/>
  <c r="EM638" i="3"/>
  <c r="E12" i="4"/>
  <c r="CM753" i="3"/>
  <c r="X1052" i="3" s="1"/>
  <c r="BE7" i="3"/>
  <c r="M16" i="7"/>
  <c r="K22" i="7"/>
  <c r="K35" i="7" s="1"/>
  <c r="B38" i="4"/>
  <c r="B38" i="13"/>
  <c r="J21" i="23"/>
  <c r="DX638" i="3"/>
  <c r="DX639" i="3"/>
  <c r="DX644" i="3"/>
  <c r="DX649" i="3"/>
  <c r="DX654" i="3"/>
  <c r="DX659" i="3"/>
  <c r="DX664" i="3"/>
  <c r="DX669" i="3"/>
  <c r="DX657" i="3"/>
  <c r="DX652" i="3"/>
  <c r="DX658" i="3"/>
  <c r="DX650" i="3"/>
  <c r="DX667" i="3"/>
  <c r="DX641" i="3"/>
  <c r="DX668" i="3"/>
  <c r="DX660" i="3"/>
  <c r="DX651" i="3"/>
  <c r="DX643" i="3"/>
  <c r="DX642" i="3"/>
  <c r="DX661" i="3"/>
  <c r="DX636" i="3"/>
  <c r="DX653" i="3"/>
  <c r="DX663" i="3"/>
  <c r="CT755" i="3"/>
  <c r="DX645" i="3"/>
  <c r="DX662" i="3"/>
  <c r="DO754" i="3"/>
  <c r="CP802" i="3"/>
  <c r="AB986" i="3" s="1"/>
  <c r="DX646" i="3"/>
  <c r="DX640" i="3"/>
  <c r="DX665" i="3"/>
  <c r="DX647" i="3"/>
  <c r="DX648" i="3"/>
  <c r="DX655" i="3"/>
  <c r="DX656" i="3"/>
  <c r="DX666" i="3"/>
  <c r="DX637" i="3"/>
  <c r="P29" i="23"/>
  <c r="J19" i="23"/>
  <c r="I1052" i="3"/>
  <c r="I1048" i="3"/>
  <c r="DX635" i="3"/>
  <c r="EZ753" i="3"/>
  <c r="G60" i="21"/>
  <c r="G63" i="21" s="1"/>
  <c r="G65" i="21" s="1"/>
  <c r="E13" i="21" s="1"/>
  <c r="G42" i="21" a="1"/>
  <c r="G42" i="21" s="1"/>
  <c r="G43" i="21" s="1"/>
  <c r="J20" i="23"/>
  <c r="EJ753" i="3"/>
  <c r="G26" i="21" l="1"/>
  <c r="F29" i="21"/>
  <c r="G29" i="21"/>
  <c r="O30" i="21"/>
  <c r="P30" i="21" s="1" a="1"/>
  <c r="P30" i="21" s="1"/>
  <c r="S30" i="21" s="1"/>
  <c r="O36" i="21"/>
  <c r="P36" i="21" s="1" a="1"/>
  <c r="P36" i="21" s="1"/>
  <c r="S36" i="21" s="1"/>
  <c r="O22" i="21"/>
  <c r="P22" i="21" s="1" a="1"/>
  <c r="P22" i="21" s="1"/>
  <c r="S22" i="21" s="1"/>
  <c r="O28" i="21"/>
  <c r="P28" i="21" s="1" a="1"/>
  <c r="P28" i="21" s="1"/>
  <c r="S28" i="21" s="1"/>
  <c r="O29" i="21"/>
  <c r="P29" i="21" s="1" a="1"/>
  <c r="P29" i="21" s="1"/>
  <c r="S29" i="21" s="1"/>
  <c r="O35" i="21"/>
  <c r="P35" i="21" s="1" a="1"/>
  <c r="P35" i="21" s="1"/>
  <c r="S35" i="21" s="1"/>
  <c r="O20" i="21"/>
  <c r="P20" i="21" s="1" a="1"/>
  <c r="P20" i="21" s="1"/>
  <c r="S20" i="21" s="1"/>
  <c r="AW122" i="20"/>
  <c r="AT24" i="23"/>
  <c r="EM670" i="3"/>
  <c r="T130" i="20" s="1"/>
  <c r="T133" i="20" s="1"/>
  <c r="T136" i="20" s="1"/>
  <c r="T11" i="15"/>
  <c r="T23" i="15" s="1"/>
  <c r="T26" i="15" s="1"/>
  <c r="T28" i="15" s="1"/>
  <c r="M8" i="7"/>
  <c r="K9" i="7"/>
  <c r="E93" i="20"/>
  <c r="E94" i="20" s="1"/>
  <c r="E95" i="20" s="1"/>
  <c r="E103" i="20"/>
  <c r="E106" i="20" s="1"/>
  <c r="AP106" i="20" s="1"/>
  <c r="AK109" i="20" s="1"/>
  <c r="T806" i="20" s="1"/>
  <c r="AF806" i="20" s="1"/>
  <c r="BE42" i="3"/>
  <c r="O16" i="7"/>
  <c r="M22" i="7"/>
  <c r="M35" i="7" s="1"/>
  <c r="B97" i="13"/>
  <c r="C105" i="4"/>
  <c r="B97" i="4"/>
  <c r="E38" i="13"/>
  <c r="S63" i="4"/>
  <c r="AY1006" i="3"/>
  <c r="AJ1049" i="3" s="1"/>
  <c r="AP553" i="20" s="1"/>
  <c r="AG1049" i="3"/>
  <c r="DU755" i="3"/>
  <c r="E11" i="21"/>
  <c r="R40" i="4"/>
  <c r="R42" i="4" s="1"/>
  <c r="R63" i="4" s="1"/>
  <c r="R97" i="4" s="1"/>
  <c r="R105" i="4" s="1"/>
  <c r="E42" i="4"/>
  <c r="E63" i="4" s="1"/>
  <c r="E97" i="4" s="1"/>
  <c r="E105" i="4" s="1"/>
  <c r="BA1039" i="3"/>
  <c r="BA1048" i="3" s="1" a="1"/>
  <c r="BA1048" i="3" s="1"/>
  <c r="X1048" i="3"/>
  <c r="AX695" i="20"/>
  <c r="AO695" i="20" s="1"/>
  <c r="AY695" i="20"/>
  <c r="AT19" i="23"/>
  <c r="J29" i="23"/>
  <c r="AT20" i="23" s="1"/>
  <c r="DX670" i="3"/>
  <c r="E130" i="20" s="1"/>
  <c r="E133" i="20" s="1"/>
  <c r="E136" i="20" s="1"/>
  <c r="AJ986" i="3"/>
  <c r="AJ992" i="3" s="1"/>
  <c r="AB991" i="3"/>
  <c r="G4" i="7"/>
  <c r="E5" i="7"/>
  <c r="E11" i="7" s="1"/>
  <c r="E37" i="7" s="1"/>
  <c r="BE9" i="3"/>
  <c r="D39" i="11"/>
  <c r="C64" i="11"/>
  <c r="E45" i="7" l="1"/>
  <c r="E49" i="7"/>
  <c r="AT21" i="23"/>
  <c r="G45" i="21"/>
  <c r="G47" i="21" s="1"/>
  <c r="E10" i="21" s="1"/>
  <c r="D64" i="11"/>
  <c r="C98" i="11"/>
  <c r="S97" i="4"/>
  <c r="E63" i="13"/>
  <c r="AJ1007" i="3"/>
  <c r="AP550" i="20"/>
  <c r="AJ1029" i="3"/>
  <c r="AJ1053" i="3" s="1"/>
  <c r="E138" i="20"/>
  <c r="E139" i="20" s="1"/>
  <c r="AK143" i="20" s="1"/>
  <c r="T807" i="20" s="1"/>
  <c r="AF807" i="20" s="1"/>
  <c r="BE74" i="3" s="1"/>
  <c r="AG269" i="20"/>
  <c r="B105" i="13"/>
  <c r="B105" i="4"/>
  <c r="BE101" i="3"/>
  <c r="AC455" i="3"/>
  <c r="AT22" i="23"/>
  <c r="BE73" i="3"/>
  <c r="I4" i="7"/>
  <c r="G5" i="7"/>
  <c r="G11" i="7" s="1"/>
  <c r="G37" i="7" s="1"/>
  <c r="Q16" i="7"/>
  <c r="O22" i="7"/>
  <c r="O35" i="7" s="1"/>
  <c r="G96" i="21"/>
  <c r="G88" i="21"/>
  <c r="G90" i="21" s="1"/>
  <c r="E16" i="21" s="1"/>
  <c r="G79" i="21"/>
  <c r="G80" i="21" s="1"/>
  <c r="E15" i="21" s="1"/>
  <c r="G31" i="21"/>
  <c r="G33" i="21" s="1"/>
  <c r="E9" i="21" s="1"/>
  <c r="G111" i="21"/>
  <c r="AP705" i="20"/>
  <c r="AP706" i="20"/>
  <c r="BE10" i="3"/>
  <c r="P421" i="3"/>
  <c r="DU802" i="3"/>
  <c r="U373" i="20" s="1"/>
  <c r="O756" i="3"/>
  <c r="AY43" i="23"/>
  <c r="AY44" i="23"/>
  <c r="AT25" i="23"/>
  <c r="AY45" i="23"/>
  <c r="AT27" i="23"/>
  <c r="AY47" i="23"/>
  <c r="AT26" i="23"/>
  <c r="AT28" i="23"/>
  <c r="AT29" i="23"/>
  <c r="AY36" i="23"/>
  <c r="AY37" i="23"/>
  <c r="AY38" i="23"/>
  <c r="AY39" i="23"/>
  <c r="AY40" i="23"/>
  <c r="AY41" i="23"/>
  <c r="AY42" i="23"/>
  <c r="AY46" i="23"/>
  <c r="AT23" i="23"/>
  <c r="AG1045" i="3"/>
  <c r="AJ1045" i="3"/>
  <c r="AP552" i="20" s="1"/>
  <c r="AP554" i="20" s="1"/>
  <c r="AY1005" i="3"/>
  <c r="O8" i="7"/>
  <c r="M9" i="7"/>
  <c r="BE11" i="3"/>
  <c r="AP557" i="20" l="1"/>
  <c r="AP556" i="20" s="1"/>
  <c r="AP559" i="20" s="1"/>
  <c r="AF552" i="20" s="1"/>
  <c r="T24" i="15"/>
  <c r="G45" i="7"/>
  <c r="G49" i="7"/>
  <c r="BE12" i="3"/>
  <c r="G101" i="21"/>
  <c r="G113" i="21"/>
  <c r="G115" i="21" s="1"/>
  <c r="E17" i="21" s="1"/>
  <c r="E14" i="21" s="1"/>
  <c r="E18" i="21" s="1"/>
  <c r="H3" i="21" s="1"/>
  <c r="G97" i="21"/>
  <c r="S16" i="7"/>
  <c r="Q22" i="7"/>
  <c r="Q35" i="7" s="1"/>
  <c r="E97" i="13"/>
  <c r="S105" i="4"/>
  <c r="AZ1046" i="3"/>
  <c r="AB47" i="15"/>
  <c r="AB49" i="15" s="1"/>
  <c r="BE22" i="3"/>
  <c r="N185" i="23"/>
  <c r="AC454" i="3"/>
  <c r="AB266" i="20"/>
  <c r="AG268" i="20" s="1"/>
  <c r="AG270" i="20" s="1"/>
  <c r="AK273" i="20" s="1"/>
  <c r="T812" i="20" s="1"/>
  <c r="AF812" i="20" s="1"/>
  <c r="K4" i="7"/>
  <c r="I5" i="7"/>
  <c r="I11" i="7" s="1"/>
  <c r="I37" i="7" s="1"/>
  <c r="C106" i="11"/>
  <c r="D106" i="11" s="1"/>
  <c r="D98" i="11"/>
  <c r="Q8" i="7"/>
  <c r="O9" i="7"/>
  <c r="E47" i="7"/>
  <c r="E60" i="7"/>
  <c r="E48" i="7"/>
  <c r="I45" i="7" l="1"/>
  <c r="I49" i="7"/>
  <c r="N196" i="23"/>
  <c r="N186" i="23"/>
  <c r="BE44" i="3"/>
  <c r="F457" i="3"/>
  <c r="BA1056" i="3"/>
  <c r="AZ1051" i="3"/>
  <c r="BA1055" i="3" s="1"/>
  <c r="BA1059" i="3" s="1"/>
  <c r="BE77" i="3"/>
  <c r="AB54" i="15"/>
  <c r="AB55" i="15" s="1"/>
  <c r="E62" i="7"/>
  <c r="E66" i="7"/>
  <c r="E67" i="7"/>
  <c r="BE15" i="3"/>
  <c r="S107" i="4"/>
  <c r="E105" i="13"/>
  <c r="Q9" i="7"/>
  <c r="S8" i="7"/>
  <c r="BE13" i="3"/>
  <c r="BE14" i="3" s="1"/>
  <c r="U16" i="7"/>
  <c r="S22" i="7"/>
  <c r="S35" i="7" s="1"/>
  <c r="K5" i="7"/>
  <c r="K11" i="7"/>
  <c r="K37" i="7" s="1"/>
  <c r="M4" i="7"/>
  <c r="G60" i="7"/>
  <c r="G47" i="7"/>
  <c r="G48" i="7"/>
  <c r="M5" i="7" l="1"/>
  <c r="O4" i="7"/>
  <c r="M11" i="7"/>
  <c r="M37" i="7" s="1"/>
  <c r="E70" i="7"/>
  <c r="E72" i="7" s="1"/>
  <c r="K49" i="7"/>
  <c r="K45" i="7"/>
  <c r="G67" i="7"/>
  <c r="G62" i="7"/>
  <c r="G66" i="7"/>
  <c r="G70" i="7" s="1"/>
  <c r="G72" i="7" s="1"/>
  <c r="AF551" i="20"/>
  <c r="AF553" i="20" s="1"/>
  <c r="AK559" i="20" s="1"/>
  <c r="T818" i="20" s="1"/>
  <c r="AF818" i="20" s="1"/>
  <c r="AA1056" i="3"/>
  <c r="AA1057" i="3" s="1"/>
  <c r="G1058" i="3" s="1"/>
  <c r="E107" i="13"/>
  <c r="Y11" i="15" s="1"/>
  <c r="Y23" i="15" s="1"/>
  <c r="AC456" i="3"/>
  <c r="U22" i="7"/>
  <c r="U35" i="7" s="1"/>
  <c r="W16" i="7"/>
  <c r="U8" i="7"/>
  <c r="S9" i="7"/>
  <c r="I47" i="7"/>
  <c r="I60" i="7"/>
  <c r="I48" i="7"/>
  <c r="W22" i="7" l="1"/>
  <c r="W35" i="7" s="1"/>
  <c r="Y16" i="7"/>
  <c r="I62" i="7"/>
  <c r="I66" i="7"/>
  <c r="I67" i="7"/>
  <c r="W8" i="7"/>
  <c r="U9" i="7"/>
  <c r="Y26" i="15"/>
  <c r="Y28" i="15" s="1"/>
  <c r="T29" i="15" s="1"/>
  <c r="AD38" i="15"/>
  <c r="AD40" i="15" s="1"/>
  <c r="Y38" i="15"/>
  <c r="Y40" i="15" s="1"/>
  <c r="Y41" i="15" s="1"/>
  <c r="AB56" i="15" s="1"/>
  <c r="M49" i="7"/>
  <c r="M45" i="7"/>
  <c r="BE81" i="3"/>
  <c r="AF821" i="20"/>
  <c r="BE70" i="3" s="1"/>
  <c r="O5" i="7"/>
  <c r="O11" i="7"/>
  <c r="O37" i="7" s="1"/>
  <c r="Q4" i="7"/>
  <c r="K48" i="7"/>
  <c r="K47" i="7"/>
  <c r="K60" i="7"/>
  <c r="S4" i="7" l="1"/>
  <c r="Q5" i="7"/>
  <c r="Q11" i="7" s="1"/>
  <c r="Q37" i="7" s="1"/>
  <c r="O45" i="7"/>
  <c r="O49" i="7"/>
  <c r="AB57" i="15"/>
  <c r="M26" i="3"/>
  <c r="K66" i="7"/>
  <c r="K70" i="7" s="1"/>
  <c r="K72" i="7" s="1"/>
  <c r="K62" i="7"/>
  <c r="K67" i="7"/>
  <c r="M48" i="7"/>
  <c r="M47" i="7"/>
  <c r="M60" i="7"/>
  <c r="Y8" i="7"/>
  <c r="W9" i="7"/>
  <c r="I70" i="7"/>
  <c r="I72" i="7" s="1"/>
  <c r="Y22" i="7"/>
  <c r="Y35" i="7" s="1"/>
  <c r="AA16" i="7"/>
  <c r="Q45" i="7" l="1"/>
  <c r="Q49" i="7"/>
  <c r="AC16" i="7"/>
  <c r="AA22" i="7"/>
  <c r="AA35" i="7" s="1"/>
  <c r="M66" i="7"/>
  <c r="M62" i="7"/>
  <c r="M67" i="7"/>
  <c r="BE19" i="3"/>
  <c r="P204" i="3"/>
  <c r="O48" i="7"/>
  <c r="O47" i="7"/>
  <c r="O60" i="7"/>
  <c r="AA8" i="7"/>
  <c r="Y9" i="7"/>
  <c r="AB59" i="15"/>
  <c r="AB77" i="15" s="1"/>
  <c r="AB78" i="15" s="1"/>
  <c r="S5" i="7"/>
  <c r="S11" i="7"/>
  <c r="S37" i="7" s="1"/>
  <c r="U4" i="7"/>
  <c r="S45" i="7" l="1"/>
  <c r="S49" i="7"/>
  <c r="O66" i="7"/>
  <c r="O62" i="7"/>
  <c r="O67" i="7"/>
  <c r="U5" i="7"/>
  <c r="W4" i="7"/>
  <c r="U11" i="7"/>
  <c r="U37" i="7" s="1"/>
  <c r="AB79" i="15"/>
  <c r="AB81" i="15" s="1"/>
  <c r="J82" i="15" s="1"/>
  <c r="I10" i="21"/>
  <c r="I11" i="21" s="1"/>
  <c r="I18" i="21" s="1"/>
  <c r="H4" i="21" s="1"/>
  <c r="H5" i="21" s="1"/>
  <c r="BE83" i="3" s="1"/>
  <c r="M27" i="3"/>
  <c r="AC8" i="7"/>
  <c r="AA9" i="7"/>
  <c r="M70" i="7"/>
  <c r="M72" i="7" s="1"/>
  <c r="AC22" i="7"/>
  <c r="AC35" i="7" s="1"/>
  <c r="AE16" i="7"/>
  <c r="Q47" i="7"/>
  <c r="Q60" i="7"/>
  <c r="Q48" i="7"/>
  <c r="Q62" i="7" l="1"/>
  <c r="Q72" i="7" s="1"/>
  <c r="Q67" i="7"/>
  <c r="Q66" i="7"/>
  <c r="Q70" i="7" s="1"/>
  <c r="BE20" i="3"/>
  <c r="P205" i="3"/>
  <c r="AE8" i="7"/>
  <c r="AC9" i="7"/>
  <c r="AE22" i="7"/>
  <c r="AE35" i="7" s="1"/>
  <c r="AG16" i="7"/>
  <c r="AG22" i="7" s="1"/>
  <c r="AG35" i="7" s="1"/>
  <c r="U49" i="7"/>
  <c r="U45" i="7"/>
  <c r="Y4" i="7"/>
  <c r="W5" i="7"/>
  <c r="W11" i="7"/>
  <c r="W37" i="7" s="1"/>
  <c r="O70" i="7"/>
  <c r="O72" i="7" s="1"/>
  <c r="S48" i="7"/>
  <c r="S47" i="7"/>
  <c r="S60" i="7"/>
  <c r="S66" i="7" l="1"/>
  <c r="S62" i="7"/>
  <c r="S67" i="7"/>
  <c r="Y5" i="7"/>
  <c r="AA4" i="7"/>
  <c r="Y11" i="7"/>
  <c r="Y37" i="7" s="1"/>
  <c r="U48" i="7"/>
  <c r="U47" i="7"/>
  <c r="U60" i="7"/>
  <c r="AE9" i="7"/>
  <c r="AG8" i="7"/>
  <c r="AG9" i="7" s="1"/>
  <c r="W49" i="7"/>
  <c r="W45" i="7"/>
  <c r="Y49" i="7" l="1"/>
  <c r="Y45" i="7"/>
  <c r="W47" i="7"/>
  <c r="W48" i="7"/>
  <c r="W60" i="7"/>
  <c r="U67" i="7"/>
  <c r="U66" i="7"/>
  <c r="U70" i="7" s="1"/>
  <c r="U72" i="7" s="1"/>
  <c r="U62" i="7"/>
  <c r="AA5" i="7"/>
  <c r="AA11" i="7"/>
  <c r="AA37" i="7" s="1"/>
  <c r="AC4" i="7"/>
  <c r="S70" i="7"/>
  <c r="S72" i="7" s="1"/>
  <c r="AC5" i="7" l="1"/>
  <c r="AC11" i="7" s="1"/>
  <c r="AC37" i="7" s="1"/>
  <c r="AE4" i="7"/>
  <c r="AA49" i="7"/>
  <c r="AA45" i="7"/>
  <c r="W67" i="7"/>
  <c r="W62" i="7"/>
  <c r="W66" i="7"/>
  <c r="W70" i="7" s="1"/>
  <c r="W72" i="7"/>
  <c r="Y48" i="7"/>
  <c r="Y47" i="7"/>
  <c r="Y60" i="7"/>
  <c r="AC49" i="7" l="1"/>
  <c r="AC45" i="7"/>
  <c r="Y67" i="7"/>
  <c r="Y66" i="7"/>
  <c r="Y70" i="7" s="1"/>
  <c r="Y62" i="7"/>
  <c r="Y72" i="7"/>
  <c r="AA48" i="7"/>
  <c r="AA47" i="7"/>
  <c r="AA60" i="7"/>
  <c r="AG4" i="7"/>
  <c r="AE5" i="7"/>
  <c r="AE11" i="7" s="1"/>
  <c r="AE37" i="7" s="1"/>
  <c r="AE45" i="7" l="1"/>
  <c r="AE49" i="7"/>
  <c r="AA66" i="7"/>
  <c r="AA62" i="7"/>
  <c r="AA67" i="7"/>
  <c r="AC48" i="7"/>
  <c r="AC47" i="7"/>
  <c r="AC60" i="7"/>
  <c r="AG5" i="7"/>
  <c r="AG11" i="7" s="1"/>
  <c r="AG37" i="7" s="1"/>
  <c r="AG45" i="7" l="1"/>
  <c r="AG49" i="7"/>
  <c r="AC67" i="7"/>
  <c r="AC66" i="7"/>
  <c r="AC70" i="7" s="1"/>
  <c r="AC62" i="7"/>
  <c r="AC72" i="7"/>
  <c r="AA70" i="7"/>
  <c r="AA72" i="7" s="1"/>
  <c r="AE60" i="7"/>
  <c r="AE48" i="7"/>
  <c r="AE47" i="7"/>
  <c r="AG60" i="7" l="1"/>
  <c r="AG48" i="7"/>
  <c r="AG47" i="7"/>
  <c r="AE67" i="7"/>
  <c r="AE62" i="7"/>
  <c r="AE66" i="7"/>
  <c r="AE70" i="7" s="1"/>
  <c r="AE72" i="7" s="1"/>
  <c r="AG67" i="7" l="1"/>
  <c r="AG62" i="7"/>
  <c r="AG72" i="7" s="1"/>
  <c r="AG66" i="7"/>
  <c r="AG7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A42303C9-E2AA-4D0E-83FD-33810607ED7C}">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CAEEBC9-58E3-4ABA-B28E-0668F464061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<sst xmlns="http://schemas.openxmlformats.org/spreadsheetml/2006/main" count="4692" uniqueCount="2612">
  <si>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</si>
  <si>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</si>
  <si>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</si>
  <si>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</si>
  <si>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</si>
  <si>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</si>
  <si>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</si>
  <si>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</si>
  <si>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</si>
  <si>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</si>
  <si>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</si>
  <si>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</si>
  <si>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</si>
  <si>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</si>
  <si>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</si>
  <si>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</si>
  <si>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</si>
  <si>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</si>
  <si>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</si>
  <si>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</si>
  <si>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</si>
  <si>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</si>
  <si>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</si>
  <si>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</si>
  <si>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</si>
  <si>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</si>
  <si>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</si>
  <si>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</si>
  <si>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</si>
  <si>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</si>
  <si>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</si>
  <si>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</si>
  <si>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</si>
  <si>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</si>
  <si>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</si>
  <si>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</si>
  <si>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</si>
  <si>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</si>
  <si>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</si>
  <si>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</si>
  <si>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</si>
  <si>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</si>
  <si>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</si>
  <si>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</si>
  <si>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</si>
  <si>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</si>
  <si>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</si>
  <si>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</si>
  <si>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</si>
  <si>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</si>
  <si>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</si>
  <si>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</si>
  <si>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</si>
  <si>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</si>
  <si>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</si>
  <si>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</si>
  <si>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</si>
  <si>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</si>
  <si>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</si>
  <si>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</si>
  <si>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</si>
  <si>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</si>
  <si>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</si>
  <si>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</si>
  <si>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</si>
  <si>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</si>
  <si>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</si>
  <si>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</si>
  <si>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</si>
  <si>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</si>
  <si>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</si>
  <si>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</si>
  <si>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</si>
  <si>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</si>
  <si>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</si>
  <si>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</si>
  <si>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</si>
  <si>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</si>
  <si>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</si>
  <si>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</si>
  <si>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</si>
  <si>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</si>
  <si>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</si>
  <si>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</si>
  <si>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</si>
  <si>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</si>
  <si>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</si>
  <si>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</si>
  <si>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</si>
  <si>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</si>
  <si>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</si>
  <si>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</si>
  <si>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</si>
  <si>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</si>
  <si>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</si>
  <si>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</si>
  <si>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</si>
  <si>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</si>
  <si>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</si>
  <si>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</si>
  <si>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</si>
  <si>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</si>
  <si>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</si>
  <si>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</si>
  <si>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</si>
  <si>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</si>
  <si>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</si>
  <si>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</si>
  <si>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</si>
  <si>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</si>
  <si>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</si>
  <si>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</si>
  <si>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</si>
  <si>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</si>
  <si>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</si>
  <si>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</si>
  <si>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</si>
  <si>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</si>
  <si>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</si>
  <si>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</si>
  <si>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</si>
  <si>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</si>
  <si>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</si>
  <si>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</si>
  <si>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</si>
  <si>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</si>
  <si>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</si>
  <si>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</si>
  <si>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</si>
  <si>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</si>
  <si>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</si>
  <si>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</si>
  <si>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</si>
  <si>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</si>
  <si>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</si>
  <si>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</si>
  <si>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</si>
  <si>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</si>
  <si>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</si>
  <si>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</si>
  <si>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</si>
  <si>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</si>
  <si>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</si>
  <si>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</si>
  <si>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</si>
  <si>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</si>
  <si>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</si>
  <si>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</si>
  <si>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</si>
  <si>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</si>
  <si>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</si>
  <si>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</si>
  <si>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</si>
  <si>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</si>
  <si>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</si>
  <si>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</si>
  <si>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</si>
  <si>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</si>
  <si>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</si>
  <si>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</si>
  <si>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</si>
  <si>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</si>
  <si>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</si>
  <si>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</si>
  <si>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</si>
  <si>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</si>
  <si>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</si>
  <si>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</si>
  <si>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</si>
  <si>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</si>
  <si>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</si>
  <si>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</si>
  <si>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</si>
  <si>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</si>
  <si>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</si>
  <si>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</si>
  <si>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</si>
  <si>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</si>
  <si>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</si>
  <si>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</si>
  <si>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</si>
  <si>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</si>
  <si>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</si>
  <si>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</si>
  <si>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</si>
  <si>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</si>
  <si>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</si>
  <si>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</si>
  <si>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</si>
  <si>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</si>
  <si>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</si>
  <si>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</si>
  <si>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</si>
  <si>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</si>
  <si>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</si>
  <si>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</si>
  <si>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</si>
  <si>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</si>
  <si>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</si>
  <si>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</si>
  <si>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</si>
  <si>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</si>
  <si>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</si>
  <si>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</si>
  <si>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</si>
  <si>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</si>
  <si>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</si>
  <si>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</si>
  <si>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</si>
  <si>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</si>
  <si>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</si>
  <si>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</si>
  <si>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</si>
  <si>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</si>
  <si>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</si>
  <si>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</si>
  <si>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</si>
  <si>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</si>
  <si>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</si>
  <si>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</si>
  <si>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</si>
  <si>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</si>
  <si>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</si>
  <si>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</si>
  <si>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</si>
  <si>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</si>
  <si>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</si>
  <si>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</si>
  <si>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</si>
  <si>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</si>
  <si>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</si>
  <si>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</si>
  <si>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</si>
  <si>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</si>
  <si>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</si>
  <si>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</si>
  <si>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</si>
  <si>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</si>
  <si>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</si>
  <si>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</si>
  <si>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</si>
  <si>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</si>
  <si>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</si>
  <si>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</si>
  <si>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</si>
  <si>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</si>
  <si>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</si>
  <si>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</si>
  <si>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</si>
  <si>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</si>
  <si>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</si>
  <si>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</si>
  <si>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</si>
  <si>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</si>
  <si>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</si>
  <si>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</si>
  <si>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</si>
  <si>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</si>
  <si>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</si>
  <si>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</si>
  <si>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</si>
  <si>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</si>
  <si>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</si>
  <si>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</si>
  <si>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</si>
  <si>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</si>
  <si>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</si>
  <si>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</si>
  <si>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</si>
  <si>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</si>
  <si>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</si>
  <si>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</si>
  <si>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</si>
  <si>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</si>
  <si>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</si>
  <si>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</si>
  <si>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</si>
  <si>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</si>
  <si>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</si>
  <si>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</si>
  <si>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</si>
  <si>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</si>
  <si>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</si>
  <si>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</si>
  <si>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</si>
  <si>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</si>
  <si>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</si>
  <si>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</si>
  <si>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</si>
  <si>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</si>
  <si>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</si>
  <si>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</si>
  <si>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</si>
  <si>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</si>
  <si>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</si>
  <si>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</si>
  <si>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</si>
  <si>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</si>
  <si>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</si>
  <si>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</si>
  <si>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</si>
  <si>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</si>
  <si>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</si>
  <si>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</si>
  <si>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</si>
  <si>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</si>
  <si>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</si>
  <si>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</si>
  <si>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</si>
  <si>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</si>
  <si>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</si>
  <si>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</si>
  <si>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</si>
  <si>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</si>
  <si>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</si>
  <si>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</si>
  <si>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</si>
  <si>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</si>
  <si>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</si>
  <si>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</si>
  <si>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</si>
  <si>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</si>
  <si>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</si>
  <si>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</si>
  <si>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</si>
  <si>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</si>
  <si>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</si>
  <si>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</si>
  <si>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</si>
  <si>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</si>
  <si>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</si>
  <si>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</si>
  <si>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</si>
  <si>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</si>
  <si>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</si>
  <si>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</si>
  <si>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</si>
  <si>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</si>
  <si>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</si>
  <si>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</si>
  <si>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</si>
  <si>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</si>
  <si>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</si>
  <si>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</si>
  <si>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</si>
  <si>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</si>
  <si>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</si>
  <si>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</si>
  <si>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</si>
  <si>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</si>
  <si>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</si>
  <si>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</si>
  <si>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</si>
  <si>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</si>
  <si>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</si>
  <si>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</si>
  <si>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</si>
  <si>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</si>
  <si>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</si>
  <si>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</si>
  <si>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</si>
  <si>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</si>
  <si>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</si>
  <si>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</si>
  <si>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</si>
  <si>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</si>
  <si>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</si>
  <si>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</si>
  <si>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</si>
  <si>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</si>
  <si>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</si>
  <si>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</si>
  <si>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</si>
  <si>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</si>
  <si>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</si>
  <si>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</si>
  <si>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</si>
  <si>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</si>
  <si>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</si>
  <si>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</si>
  <si>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</si>
  <si>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</si>
  <si>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</si>
  <si>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</si>
  <si>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</si>
  <si>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</si>
  <si>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</si>
  <si>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</si>
  <si>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</si>
  <si>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</si>
  <si>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</si>
  <si>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</si>
  <si>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</si>
  <si>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</si>
  <si>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</si>
  <si>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</si>
  <si>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</si>
  <si>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</si>
  <si>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</si>
  <si>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</si>
  <si>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</si>
  <si>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</si>
  <si>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</si>
  <si>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</si>
  <si>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</si>
  <si>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</si>
  <si>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</si>
  <si>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</si>
  <si>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</si>
  <si>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</si>
  <si>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</si>
  <si>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</si>
  <si>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</si>
  <si>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</si>
  <si>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</si>
  <si>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</si>
  <si>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</si>
  <si>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</si>
  <si>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</si>
  <si>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</si>
  <si>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</si>
  <si>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</si>
  <si>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</si>
  <si>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</si>
  <si>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</si>
  <si>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</si>
  <si>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</si>
  <si>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</si>
  <si>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</si>
  <si>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</si>
  <si>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</si>
  <si>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</si>
  <si>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</si>
  <si>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</si>
  <si>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</si>
  <si>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</si>
  <si>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</si>
  <si>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</si>
  <si>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</si>
  <si>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</si>
  <si>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</si>
  <si>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</si>
  <si>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</si>
  <si>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</si>
  <si>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</si>
  <si>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</si>
  <si>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</si>
  <si>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</si>
  <si>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</si>
  <si>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</si>
  <si>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</si>
  <si>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</si>
  <si>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</si>
  <si>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</si>
  <si>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</si>
  <si>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</si>
  <si>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</si>
  <si>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</si>
  <si>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</si>
  <si>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</si>
  <si>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</si>
  <si>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</si>
  <si>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</si>
  <si>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</si>
  <si>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</si>
  <si>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</si>
  <si>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</si>
  <si>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</si>
  <si>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</si>
  <si>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</si>
  <si>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</si>
  <si>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</si>
  <si>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</si>
  <si>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</si>
  <si>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</si>
  <si>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</si>
  <si>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</si>
  <si>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</si>
  <si>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</si>
  <si>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</si>
  <si>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</si>
  <si>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</si>
  <si>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</si>
  <si>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</si>
  <si>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</si>
  <si>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</si>
  <si>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</si>
  <si>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</si>
  <si>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</si>
  <si>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</si>
  <si>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</si>
  <si>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</si>
  <si>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</si>
  <si>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</si>
  <si>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</si>
  <si>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</si>
  <si>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</si>
  <si>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</si>
  <si>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</si>
  <si>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</si>
  <si>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</si>
  <si>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</si>
  <si>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</si>
  <si>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</si>
  <si>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</si>
  <si>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</si>
  <si>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</si>
  <si>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</si>
  <si>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</si>
  <si>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</si>
  <si>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</si>
  <si>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</si>
  <si>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</si>
  <si>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</si>
  <si>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</si>
  <si>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</si>
  <si>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</si>
  <si>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</si>
  <si>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</si>
  <si>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</si>
  <si>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</si>
  <si>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</si>
  <si>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</si>
  <si>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</si>
  <si>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</si>
  <si>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</si>
  <si>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</si>
  <si>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</si>
  <si>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</si>
  <si>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</si>
  <si>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</si>
  <si>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</si>
  <si>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</si>
  <si>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</si>
  <si>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</si>
  <si>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</si>
  <si>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</si>
  <si>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</si>
  <si>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</si>
  <si>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</si>
  <si>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</si>
  <si>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</si>
  <si>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</si>
  <si>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</si>
  <si>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</si>
  <si>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</si>
  <si>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</si>
  <si>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</si>
  <si>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</si>
  <si>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</si>
  <si>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</si>
  <si>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</si>
  <si>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</si>
  <si>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</si>
  <si>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</si>
  <si>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</si>
  <si>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</si>
  <si>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</si>
  <si>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</si>
  <si>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</si>
  <si>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</si>
  <si>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</si>
  <si>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</si>
  <si>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</si>
  <si>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</si>
  <si>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</si>
  <si>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</si>
  <si>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</si>
  <si>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</si>
  <si>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</si>
  <si>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</si>
  <si>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</si>
  <si>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</si>
  <si>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</si>
  <si>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</si>
  <si>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</si>
  <si>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</si>
  <si>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</si>
  <si>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</si>
  <si>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</si>
  <si>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</si>
  <si>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</si>
  <si>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</si>
  <si>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</si>
  <si>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</si>
  <si>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</si>
  <si>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</si>
  <si>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</si>
  <si>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</si>
  <si>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</si>
  <si>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</si>
  <si>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</si>
  <si>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</si>
  <si>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</si>
  <si>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</si>
  <si>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</si>
  <si>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</si>
  <si>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</si>
  <si>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</si>
  <si>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</si>
  <si>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</si>
  <si>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</si>
  <si>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</si>
  <si>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</si>
  <si>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</si>
  <si>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</si>
  <si>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</si>
  <si>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</si>
  <si>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</si>
  <si>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</si>
  <si>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</si>
  <si>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</si>
  <si>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</si>
  <si>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</si>
  <si>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</si>
  <si>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</si>
  <si>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</si>
  <si>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</si>
  <si>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</si>
  <si>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</si>
  <si>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</si>
  <si>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</si>
  <si>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</si>
  <si>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</si>
  <si>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</si>
  <si>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</si>
  <si>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</si>
  <si>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</si>
  <si>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</si>
  <si>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</si>
  <si>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</si>
  <si>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</si>
  <si>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</si>
  <si>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</si>
  <si>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</si>
  <si>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</si>
  <si>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</si>
  <si>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</si>
  <si>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</si>
  <si>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</si>
  <si>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</si>
  <si>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</si>
  <si>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</si>
  <si>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</si>
  <si>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</si>
  <si>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</si>
  <si>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</si>
  <si>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</si>
  <si>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</si>
  <si>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</si>
  <si>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</si>
  <si>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</si>
  <si>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</si>
  <si>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</si>
  <si>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</si>
  <si>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</si>
  <si>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</si>
  <si>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</si>
  <si>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</si>
  <si>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</si>
  <si>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</si>
  <si>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</si>
  <si>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</si>
  <si>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</si>
  <si>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</si>
  <si>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</si>
  <si>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</si>
  <si>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</si>
  <si>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</si>
  <si>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</si>
  <si>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</si>
  <si>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</si>
  <si>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</si>
  <si>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</si>
  <si>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</si>
  <si>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</si>
  <si>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</si>
  <si>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</si>
  <si>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</si>
  <si>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</si>
  <si>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</si>
  <si>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</si>
  <si>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</si>
  <si>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</si>
  <si>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</si>
  <si>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</si>
  <si>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</si>
  <si>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</si>
  <si>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</si>
  <si>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</si>
  <si>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</si>
  <si>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</si>
  <si>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</si>
  <si>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</si>
  <si>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</si>
  <si>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</si>
  <si>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</si>
  <si>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</si>
  <si>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</si>
  <si>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</si>
  <si>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</si>
  <si>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</si>
  <si>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</si>
  <si>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</si>
  <si>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</si>
  <si>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</si>
  <si>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</si>
  <si>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</si>
  <si>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</si>
  <si>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</si>
  <si>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</si>
  <si>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</si>
  <si>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</si>
  <si>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</si>
  <si>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</si>
  <si>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</si>
  <si>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</si>
  <si>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</si>
  <si>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</si>
  <si>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</si>
  <si>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</si>
  <si>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</si>
  <si>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</si>
  <si>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</si>
  <si>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</si>
  <si>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</si>
  <si>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</si>
  <si>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</si>
  <si>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</si>
  <si>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</si>
  <si>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</si>
  <si>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</si>
  <si>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</si>
  <si>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</si>
  <si>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</si>
  <si>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</si>
  <si>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</si>
  <si>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</si>
  <si>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</si>
  <si>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</si>
  <si>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</si>
  <si>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</si>
  <si>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</si>
  <si>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</si>
  <si>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</si>
  <si>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</si>
  <si>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</si>
  <si>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</si>
  <si>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</si>
  <si>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</si>
  <si>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</si>
  <si>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</si>
  <si>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</si>
  <si>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</si>
  <si>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</si>
  <si>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</si>
  <si>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</si>
  <si>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</si>
  <si>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</si>
  <si>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</si>
  <si>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</si>
  <si>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</si>
  <si>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</si>
  <si>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</si>
  <si>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</si>
  <si>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</si>
  <si>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</si>
  <si>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</si>
  <si>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</si>
  <si>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</si>
  <si>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</si>
  <si>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</si>
  <si>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</si>
  <si>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</si>
  <si>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</si>
  <si>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</si>
  <si>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</si>
  <si>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</si>
  <si>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</si>
  <si>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</si>
  <si>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</si>
  <si>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</si>
  <si>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</si>
  <si>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</si>
  <si>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</si>
  <si>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</si>
  <si>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</si>
  <si>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</si>
  <si>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</si>
  <si>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</si>
  <si>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</si>
  <si>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</si>
  <si>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</si>
  <si>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</si>
  <si>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</si>
  <si>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</si>
  <si>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</si>
  <si>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</si>
  <si>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</si>
  <si>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</si>
  <si>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</si>
  <si>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</si>
  <si>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</si>
  <si>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</si>
  <si>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</si>
  <si>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</si>
  <si>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</si>
  <si>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</si>
  <si>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</si>
  <si>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</si>
  <si>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</si>
  <si>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</si>
  <si>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</si>
  <si>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</si>
  <si>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</si>
  <si>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</si>
  <si>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</si>
  <si>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</si>
  <si>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</si>
  <si>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</si>
  <si>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</si>
  <si>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</si>
  <si>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</si>
  <si>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</si>
  <si>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</si>
  <si>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</si>
  <si>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</si>
  <si>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</si>
  <si>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</si>
  <si>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</si>
  <si>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</si>
  <si>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</si>
  <si>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</si>
  <si>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</si>
  <si>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</si>
  <si>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</si>
  <si>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</si>
  <si>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</si>
  <si>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</si>
  <si>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</si>
  <si>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</si>
  <si>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</si>
  <si>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</si>
  <si>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</si>
  <si>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</si>
  <si>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</si>
  <si>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</si>
  <si>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</si>
  <si>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</si>
  <si>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</si>
  <si>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</si>
  <si>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</si>
  <si>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</si>
  <si>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</si>
  <si>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</si>
  <si>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</si>
  <si>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</si>
  <si>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</si>
  <si>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</si>
  <si>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</si>
  <si>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</si>
  <si>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</si>
  <si>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</si>
  <si>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</si>
  <si>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</si>
  <si>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</si>
  <si>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</si>
  <si>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</si>
  <si>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</si>
  <si>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</si>
  <si>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</si>
  <si>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</si>
  <si>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</si>
  <si>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</si>
  <si>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</si>
  <si>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</si>
  <si>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</si>
  <si>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</si>
  <si>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</si>
  <si>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</si>
  <si>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</si>
  <si>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</si>
  <si>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</si>
  <si>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</si>
  <si>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</si>
  <si>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</si>
  <si>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</si>
  <si>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</si>
  <si>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</si>
  <si>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</si>
  <si>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</si>
  <si>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</si>
  <si>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</si>
  <si>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</si>
  <si>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</si>
  <si>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</si>
  <si>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</si>
  <si>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</si>
  <si>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</si>
  <si>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</si>
  <si>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</si>
  <si>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</si>
  <si>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</si>
  <si>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</si>
  <si>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</si>
  <si>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</si>
  <si>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</si>
  <si>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</si>
  <si>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</si>
  <si>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</si>
  <si>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</si>
  <si>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</si>
  <si>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</si>
  <si>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</si>
  <si>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</si>
  <si>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</si>
  <si>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</si>
  <si>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</si>
  <si>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</si>
  <si>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</si>
  <si>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</si>
  <si>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</si>
  <si>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</si>
  <si>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</si>
  <si>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</si>
  <si>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</si>
  <si>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</si>
  <si>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</si>
  <si>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</si>
  <si>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</si>
  <si>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</si>
  <si>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</si>
  <si>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</si>
  <si>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</si>
  <si>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</si>
  <si>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</si>
  <si>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</si>
  <si>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</si>
  <si>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</si>
  <si>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</si>
  <si>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</si>
  <si>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</si>
  <si>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</si>
  <si>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</si>
  <si>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</si>
  <si>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</si>
  <si>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</si>
  <si>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</si>
  <si>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</si>
  <si>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</si>
  <si>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</si>
  <si>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</si>
  <si>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</si>
  <si>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</si>
  <si>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</si>
  <si>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</si>
  <si>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</si>
  <si>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</si>
  <si>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</si>
  <si>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</si>
  <si>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</si>
  <si>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</si>
  <si>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</si>
  <si>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</si>
  <si>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</si>
  <si>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</si>
  <si>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</si>
  <si>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</si>
  <si>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</si>
  <si>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</si>
  <si>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</si>
  <si>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</si>
  <si>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</si>
  <si>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</si>
  <si>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</si>
  <si>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</si>
  <si>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</si>
  <si>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</si>
  <si>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</si>
  <si>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</si>
  <si>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</si>
  <si>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</si>
  <si>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</si>
  <si>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</si>
  <si>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</si>
  <si>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</si>
  <si>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</si>
  <si>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</si>
  <si>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</si>
  <si>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</si>
  <si>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</si>
  <si>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</si>
  <si>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</si>
  <si>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</si>
  <si>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</si>
  <si>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</si>
  <si>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</si>
  <si>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</si>
  <si>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</si>
  <si>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</si>
  <si>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</si>
  <si>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</si>
  <si>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</si>
  <si>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</si>
  <si>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</si>
  <si>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</si>
  <si>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</si>
  <si>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</si>
  <si>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</si>
  <si>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</si>
  <si>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</si>
  <si>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</si>
  <si>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</si>
  <si>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</si>
  <si>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</si>
  <si>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</si>
  <si>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</si>
  <si>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</si>
  <si>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</si>
  <si>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</si>
  <si>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</si>
  <si>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</si>
  <si>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</si>
  <si>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</si>
  <si>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</si>
  <si>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</si>
  <si>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</si>
  <si>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</si>
  <si>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</si>
  <si>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</si>
  <si>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</si>
  <si>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</si>
  <si>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</si>
  <si>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</si>
  <si>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</si>
  <si>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</si>
  <si>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</si>
  <si>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</si>
  <si>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</si>
  <si>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</si>
  <si>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</si>
  <si>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</si>
  <si>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</si>
  <si>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</si>
  <si>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</si>
  <si>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</si>
  <si>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</si>
  <si>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</si>
  <si>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</si>
  <si>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</si>
  <si>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</si>
  <si>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</si>
  <si>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</si>
  <si>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</si>
  <si>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</si>
  <si>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</si>
  <si>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</si>
  <si>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</si>
  <si>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</si>
  <si>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</si>
  <si>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</si>
  <si>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</si>
  <si>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</si>
  <si>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</si>
  <si>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</si>
  <si>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</si>
  <si>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</si>
  <si>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</si>
  <si>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</si>
  <si>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</si>
  <si>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</si>
  <si>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</si>
  <si>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</si>
  <si>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</si>
  <si>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</si>
  <si>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</si>
  <si>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</si>
  <si>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</si>
  <si>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</si>
  <si>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</si>
  <si>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</si>
  <si>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</si>
  <si>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</si>
  <si>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</si>
  <si>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</si>
  <si>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</si>
  <si>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</si>
  <si>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</si>
  <si>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</si>
  <si>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</si>
  <si>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</si>
  <si>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</si>
  <si>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</si>
  <si>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</si>
  <si>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</si>
  <si>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</si>
  <si>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</si>
  <si>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</si>
  <si>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</si>
  <si>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</si>
  <si>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</si>
  <si>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</si>
  <si>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</si>
  <si>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</si>
  <si>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</si>
  <si>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</si>
  <si>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</si>
  <si>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</si>
  <si>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</si>
  <si>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</si>
  <si>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</si>
  <si>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</si>
  <si>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</si>
  <si>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</si>
  <si>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</si>
  <si>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</si>
  <si>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</si>
  <si>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</si>
  <si>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</si>
  <si>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</si>
  <si>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</si>
  <si>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</si>
  <si>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</si>
  <si>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</si>
  <si>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</si>
  <si>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</si>
  <si>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</si>
  <si>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</si>
  <si>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</si>
  <si>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</si>
  <si>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</si>
  <si>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</si>
  <si>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</si>
  <si>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</si>
  <si>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</si>
  <si>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</si>
  <si>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</si>
  <si>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</si>
  <si>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</si>
  <si>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</si>
  <si>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</si>
  <si>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</si>
  <si>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</si>
  <si>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</si>
  <si>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</si>
  <si>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</si>
  <si>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</si>
  <si>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</si>
  <si>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</si>
  <si>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</si>
  <si>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</si>
  <si>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</si>
  <si>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</si>
  <si>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</si>
  <si>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</si>
  <si>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</si>
  <si>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</si>
  <si>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</si>
  <si>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</si>
  <si>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</si>
  <si>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</si>
  <si>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</si>
  <si>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</si>
  <si>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</si>
  <si>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</si>
  <si>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</si>
  <si>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</si>
  <si>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</si>
  <si>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</si>
  <si>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</si>
  <si>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</si>
  <si>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</si>
  <si>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</si>
  <si>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</si>
  <si>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</si>
  <si>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</si>
  <si>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</si>
  <si>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</si>
  <si>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</si>
  <si>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</si>
  <si>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</si>
  <si>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</si>
  <si>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</si>
  <si>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</si>
  <si>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</si>
  <si>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</si>
  <si>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</si>
  <si>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</si>
  <si>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</si>
  <si>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</si>
  <si>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</si>
  <si>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</si>
  <si>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</si>
  <si>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</si>
  <si>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</si>
  <si>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</si>
  <si>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</si>
  <si>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</si>
  <si>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</si>
  <si>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</si>
  <si>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</si>
  <si>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</si>
  <si>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</si>
  <si>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</si>
  <si>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</si>
  <si>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</si>
  <si>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</si>
  <si>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</si>
  <si>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</si>
  <si>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</si>
  <si>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</si>
  <si>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</si>
  <si>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</si>
  <si>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</si>
  <si>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</si>
  <si>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</si>
  <si>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</si>
  <si>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</si>
  <si>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</si>
  <si>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</si>
  <si>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</si>
  <si>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</si>
  <si>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</si>
  <si>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</si>
  <si>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</si>
  <si>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</si>
  <si>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</si>
  <si>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</si>
  <si>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</si>
  <si>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</si>
  <si>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</si>
  <si>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</si>
  <si>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</si>
  <si>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</si>
  <si>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</si>
  <si>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</si>
  <si>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</si>
  <si>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</si>
  <si>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</si>
  <si>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</si>
  <si>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</si>
  <si>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</si>
  <si>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</si>
  <si>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</si>
  <si>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</si>
  <si>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</si>
  <si>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</si>
  <si>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</si>
  <si>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</si>
  <si>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</si>
  <si>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</si>
  <si>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</si>
  <si>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</si>
  <si>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</si>
  <si>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</si>
  <si>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</si>
  <si>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</si>
  <si>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</si>
  <si>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</si>
  <si>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</si>
  <si>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</si>
  <si>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</si>
  <si>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</si>
  <si>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</si>
  <si>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</si>
  <si>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</si>
  <si>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</si>
  <si>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</si>
  <si>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</si>
  <si>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</si>
  <si>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</si>
  <si>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</si>
  <si>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</si>
  <si>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</si>
  <si>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</si>
  <si>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</si>
  <si>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</si>
  <si>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</si>
  <si>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</si>
  <si>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</si>
  <si>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</si>
  <si>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</si>
  <si>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</si>
  <si>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</si>
  <si>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</si>
  <si>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</si>
  <si>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</si>
  <si>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</si>
  <si>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</si>
  <si>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</si>
  <si>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</si>
  <si>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</si>
  <si>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</si>
  <si>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</si>
  <si>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</si>
  <si>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</si>
  <si>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</si>
  <si>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</si>
  <si>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</si>
  <si>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</si>
  <si>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</si>
  <si>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</si>
  <si>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</si>
  <si>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</si>
  <si>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</si>
  <si>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</si>
  <si>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</si>
  <si>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</si>
  <si>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</si>
  <si>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</si>
  <si>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</si>
  <si>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</si>
  <si>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</si>
  <si>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</si>
  <si>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</si>
  <si>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</si>
  <si>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</si>
  <si>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</si>
  <si>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</si>
  <si>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</si>
  <si>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</si>
  <si>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</si>
  <si>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</si>
  <si>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</si>
  <si>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</si>
  <si>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</si>
  <si>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</si>
  <si>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</si>
  <si>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</si>
  <si>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</si>
  <si>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</si>
  <si>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</si>
  <si>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</si>
  <si>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</si>
  <si>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</si>
  <si>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</si>
  <si>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</si>
  <si>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</si>
  <si>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</si>
  <si>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</si>
  <si>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</si>
  <si>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</si>
  <si>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</si>
  <si>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</si>
  <si>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</si>
  <si>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</si>
  <si>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</si>
  <si>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</si>
  <si>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</si>
  <si>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</si>
  <si>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</si>
  <si>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</si>
  <si>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</si>
  <si>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</si>
  <si>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</si>
  <si>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</si>
  <si>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</si>
  <si>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</si>
  <si>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</si>
  <si>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</si>
  <si>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</si>
  <si>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</si>
  <si>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</si>
  <si>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</si>
  <si>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</si>
  <si>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</si>
  <si>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</si>
  <si>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</si>
  <si>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</si>
  <si>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</si>
  <si>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</si>
  <si>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</si>
  <si>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</si>
  <si>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</si>
  <si>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</si>
  <si>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</si>
  <si>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</si>
  <si>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</si>
  <si>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</si>
  <si>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</si>
  <si>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</si>
  <si>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</si>
  <si>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</si>
  <si>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</si>
  <si>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</si>
  <si>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</si>
  <si>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</si>
  <si>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</si>
  <si>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</si>
  <si>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</si>
  <si>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</si>
  <si>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</si>
  <si>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</si>
  <si>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</si>
  <si>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</si>
  <si>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</si>
  <si>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</si>
  <si>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</si>
  <si>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</si>
  <si>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</si>
  <si>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</si>
  <si>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</si>
  <si>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</si>
  <si>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</si>
  <si>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</si>
  <si>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</si>
  <si>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</si>
  <si>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</si>
  <si>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</si>
  <si>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</si>
  <si>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</si>
  <si>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</si>
  <si>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</si>
  <si>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</si>
  <si>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</si>
  <si>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</si>
  <si>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</si>
  <si>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</si>
  <si>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</si>
  <si>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</si>
  <si>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</si>
  <si>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</si>
  <si>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</si>
  <si>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</si>
  <si>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</si>
  <si>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</si>
  <si>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</si>
  <si>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</si>
  <si>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</si>
  <si>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</si>
  <si>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</si>
  <si>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</si>
  <si>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</si>
  <si>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</si>
  <si>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</si>
  <si>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</si>
  <si>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</si>
  <si>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</si>
  <si>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</si>
  <si>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</si>
  <si>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</si>
  <si>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</si>
  <si>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</si>
  <si>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</si>
  <si>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</si>
  <si>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</si>
  <si>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</si>
  <si>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</si>
  <si>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</si>
  <si>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</si>
  <si>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</si>
  <si>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</si>
  <si>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</si>
  <si>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</si>
  <si>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</si>
  <si>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</si>
  <si>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</si>
  <si>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</si>
  <si>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</si>
  <si>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</si>
  <si>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</si>
  <si>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</si>
  <si>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</si>
  <si>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</si>
  <si>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</si>
  <si>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</si>
  <si>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</si>
  <si>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</si>
  <si>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</si>
  <si>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</si>
  <si>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</si>
  <si>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</si>
  <si>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</si>
  <si>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</si>
  <si>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</si>
  <si>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</si>
  <si>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</si>
  <si>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</si>
  <si>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</si>
  <si>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</si>
  <si>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</si>
  <si>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</si>
  <si>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</si>
  <si>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</si>
  <si>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</si>
  <si>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</si>
  <si>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</si>
  <si>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</si>
  <si>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</si>
  <si>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</si>
  <si>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</si>
  <si>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</si>
  <si>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</si>
  <si>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</si>
  <si>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</si>
  <si>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</si>
  <si>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</si>
  <si>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</si>
  <si>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</si>
  <si>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</si>
  <si>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</si>
  <si>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</si>
  <si>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</si>
  <si>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</si>
  <si>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</si>
  <si>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</si>
  <si>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</si>
  <si>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</si>
  <si>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</si>
  <si>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</si>
  <si>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</si>
  <si>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</si>
  <si>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</si>
  <si>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</si>
  <si>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</si>
  <si>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</si>
  <si>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</si>
  <si>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</si>
  <si>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</si>
  <si>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</si>
  <si>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</si>
  <si>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</si>
  <si>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</si>
  <si>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</si>
  <si>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</si>
  <si>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</si>
  <si>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</si>
  <si>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</si>
  <si>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</si>
  <si>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</si>
  <si>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</si>
  <si>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</si>
  <si>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</si>
  <si>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</si>
  <si>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</si>
  <si>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</si>
  <si>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</si>
  <si>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</si>
  <si>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</si>
  <si>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</si>
  <si>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</si>
  <si>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</si>
  <si>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</si>
  <si>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</si>
  <si>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</si>
  <si>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</si>
  <si>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</si>
  <si>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</si>
  <si>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</si>
  <si>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</si>
  <si>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</si>
  <si>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</si>
  <si>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</si>
  <si>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</si>
  <si>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</si>
  <si>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</si>
  <si>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</si>
  <si>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</si>
  <si>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</si>
  <si>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</si>
  <si>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</si>
  <si>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</si>
  <si>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</si>
  <si>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</si>
  <si>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</si>
  <si>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</si>
  <si>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</si>
  <si>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</si>
  <si>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</si>
  <si>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</si>
  <si>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</si>
  <si>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</si>
  <si>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</si>
  <si>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</si>
  <si>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</si>
  <si>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</si>
  <si>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</si>
  <si>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</si>
  <si>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</si>
  <si>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</si>
  <si>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</si>
  <si>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</si>
  <si>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</si>
  <si>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</si>
  <si>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</si>
  <si>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</si>
  <si>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</si>
  <si>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</si>
  <si>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</si>
  <si>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</si>
  <si>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</si>
  <si>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</si>
  <si>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</si>
  <si>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</si>
  <si>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</si>
  <si>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</si>
  <si>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</si>
  <si>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</si>
  <si>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</si>
  <si>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</si>
  <si>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</si>
  <si>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</si>
  <si>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</si>
  <si>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</si>
  <si>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</si>
  <si>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</si>
  <si>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</si>
  <si>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</si>
  <si>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</si>
  <si>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</si>
  <si>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</si>
  <si>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</si>
  <si>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</si>
  <si>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</si>
  <si>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</si>
  <si>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</si>
  <si>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</si>
  <si>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</si>
  <si>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</si>
  <si>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</si>
  <si>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</si>
  <si>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</si>
  <si>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</si>
  <si>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</si>
  <si>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</si>
  <si>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</si>
  <si>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</si>
  <si>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</si>
  <si>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</si>
  <si>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</si>
  <si>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</si>
  <si>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</si>
  <si>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</si>
  <si>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</si>
  <si>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</si>
  <si>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</si>
  <si>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</si>
  <si>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</si>
  <si>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</si>
  <si>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</si>
  <si>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</si>
  <si>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</si>
  <si>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</si>
  <si>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</si>
  <si>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</si>
  <si>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</si>
  <si>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</si>
  <si>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</si>
  <si>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</si>
  <si>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</si>
  <si>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</si>
  <si>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</si>
  <si>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</si>
  <si>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</si>
  <si>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</si>
  <si>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</si>
  <si>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</si>
  <si>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</si>
  <si>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</si>
  <si>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</si>
  <si>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</si>
  <si>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</si>
  <si>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</si>
  <si>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</si>
  <si>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</si>
  <si>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</si>
  <si>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</si>
  <si>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</si>
  <si>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</si>
  <si>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</si>
  <si>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</si>
  <si>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</si>
  <si>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</si>
  <si>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</si>
  <si>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</si>
  <si>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</si>
  <si>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</si>
  <si>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</si>
  <si>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</si>
  <si>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</si>
  <si>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</si>
  <si>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</si>
  <si>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</si>
  <si>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</si>
  <si>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</si>
  <si>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</si>
  <si>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</si>
  <si>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</si>
  <si>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</si>
  <si>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</si>
  <si>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</si>
  <si>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</si>
  <si>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</si>
  <si>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</si>
  <si>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</si>
  <si>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</si>
  <si>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</si>
  <si>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</si>
  <si>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</si>
  <si>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</si>
  <si>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</si>
  <si>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</si>
  <si>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</si>
  <si>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</si>
  <si>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</si>
  <si>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</si>
  <si>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</si>
  <si>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</si>
  <si>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</si>
  <si>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</si>
  <si>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</si>
  <si>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</si>
  <si>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</si>
  <si>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</si>
  <si>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</si>
  <si>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</si>
  <si>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</si>
  <si>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</si>
  <si>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</si>
  <si>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</si>
  <si>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</si>
  <si>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</si>
  <si>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</si>
  <si>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</si>
  <si>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</si>
  <si>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</si>
  <si>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</si>
  <si>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</si>
  <si>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</si>
  <si>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</si>
  <si>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</si>
  <si>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</si>
  <si>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</si>
  <si>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</si>
  <si>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</si>
  <si>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</si>
  <si>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</si>
  <si>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</si>
  <si>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</si>
  <si>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</si>
  <si>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</si>
  <si>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</si>
  <si>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</si>
  <si>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</si>
  <si>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</si>
  <si>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</si>
  <si>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</si>
  <si>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</si>
  <si>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</si>
  <si>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</si>
  <si>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</si>
  <si>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</si>
  <si>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</si>
  <si>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</si>
  <si>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</si>
  <si>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</si>
  <si>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</si>
  <si>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</si>
  <si>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</si>
  <si>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</si>
  <si>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</si>
  <si>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</si>
  <si>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</si>
  <si>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</si>
  <si>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</si>
  <si>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</si>
  <si>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</si>
  <si>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</si>
  <si>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</si>
  <si>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</si>
  <si>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</si>
  <si>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</si>
  <si>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</si>
  <si>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</si>
  <si>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</si>
  <si>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</si>
  <si>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</si>
  <si>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</si>
  <si>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</si>
  <si>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</si>
  <si>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</si>
  <si>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</si>
  <si>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</si>
  <si>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</si>
  <si>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</si>
  <si>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</si>
  <si>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</si>
  <si>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</si>
  <si>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</si>
  <si>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</si>
  <si>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</si>
  <si>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</si>
  <si>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</si>
  <si>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</si>
  <si>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</si>
  <si>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</si>
  <si>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</si>
  <si>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</si>
  <si>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</si>
  <si>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</si>
  <si>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</si>
  <si>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</si>
  <si>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</si>
  <si>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</si>
  <si>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</si>
  <si>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</si>
  <si>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</si>
  <si>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</si>
  <si>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</si>
  <si>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</si>
  <si>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</si>
  <si>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</si>
  <si>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</si>
  <si>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</si>
  <si>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</si>
  <si>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</si>
  <si>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</si>
  <si>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</si>
  <si>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</si>
  <si>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</si>
  <si>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</si>
  <si>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</si>
  <si>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</si>
  <si>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</si>
  <si>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</si>
  <si>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</si>
  <si>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</si>
  <si>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</si>
  <si>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</si>
  <si>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</si>
  <si>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</si>
  <si>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</si>
  <si>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</si>
  <si>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</si>
  <si>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</si>
  <si>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</si>
  <si>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</si>
  <si>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</si>
  <si>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</si>
  <si>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</si>
  <si>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</si>
  <si>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</si>
  <si>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</si>
  <si>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</si>
  <si>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</si>
  <si>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</si>
  <si>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</si>
  <si>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</si>
  <si>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</si>
  <si>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</si>
  <si>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</si>
  <si>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</si>
  <si>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</si>
  <si>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</si>
  <si>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</si>
  <si>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</si>
  <si>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</si>
  <si>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</si>
  <si>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</si>
  <si>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</si>
  <si>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</si>
  <si>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</si>
  <si>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</si>
  <si>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</si>
  <si>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</si>
  <si>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</si>
  <si>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</si>
  <si>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</si>
  <si>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</si>
  <si>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</si>
  <si>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</si>
  <si>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</si>
  <si>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</si>
  <si>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</si>
  <si>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</si>
  <si>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</si>
  <si>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</si>
  <si>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</si>
  <si>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</si>
  <si>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</si>
  <si>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</si>
  <si>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</si>
  <si>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</si>
  <si>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</si>
  <si>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</si>
  <si>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</si>
  <si>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</si>
  <si>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</si>
  <si>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</si>
  <si>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</si>
  <si>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</si>
  <si>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</si>
  <si>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</si>
  <si>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</si>
  <si>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</si>
  <si>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</si>
  <si>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</si>
  <si>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</si>
  <si>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</si>
  <si>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</si>
  <si>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</si>
  <si>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</si>
  <si>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</si>
  <si>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</si>
  <si>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</si>
  <si>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</si>
  <si>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</si>
  <si>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</si>
  <si>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</si>
  <si>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</si>
  <si>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</si>
  <si>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</si>
  <si>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</si>
  <si>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</si>
  <si>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</si>
  <si>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</si>
  <si>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</si>
  <si>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</si>
  <si>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</si>
  <si>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</si>
  <si>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</si>
  <si>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</si>
  <si>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</si>
  <si>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</si>
  <si>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</si>
  <si>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</si>
  <si>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</si>
  <si>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</si>
  <si>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</si>
  <si>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</si>
  <si>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</si>
  <si>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</si>
  <si>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</si>
  <si>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</si>
  <si>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</si>
  <si>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</si>
  <si>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</si>
  <si>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</si>
  <si>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</si>
  <si>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</si>
  <si>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</si>
  <si>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</si>
  <si>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</si>
  <si>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</si>
  <si>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</si>
  <si>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</si>
  <si>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</si>
  <si>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</si>
  <si>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</si>
  <si>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</si>
  <si>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</si>
  <si>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</si>
  <si>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</si>
  <si>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</si>
  <si>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</si>
  <si>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</si>
  <si>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</si>
  <si>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</si>
  <si>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</si>
  <si>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</si>
  <si>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</si>
  <si>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</si>
  <si>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</si>
  <si>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</si>
  <si>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</si>
  <si>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</si>
  <si>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</si>
  <si>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</si>
  <si>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</si>
  <si>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</si>
  <si>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</si>
  <si>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</si>
  <si>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</si>
  <si>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</si>
  <si>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</si>
  <si>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</si>
  <si>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</si>
  <si>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</si>
  <si>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</si>
  <si>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</si>
  <si>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</si>
  <si>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</si>
  <si>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</si>
  <si>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</si>
  <si>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</si>
  <si>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</si>
  <si>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</si>
  <si>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</si>
  <si>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</si>
  <si>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</si>
  <si>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</si>
  <si>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</si>
  <si>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</si>
  <si>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</si>
  <si>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</si>
  <si>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</si>
  <si>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</si>
  <si>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</si>
  <si>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</si>
  <si>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</si>
  <si>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</si>
  <si>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</si>
  <si>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</si>
  <si>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</si>
  <si>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</si>
  <si>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</si>
  <si>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</si>
  <si>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</si>
  <si>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</si>
  <si>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</si>
  <si>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</si>
  <si>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</si>
  <si>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</si>
  <si>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</si>
  <si>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</si>
  <si>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</si>
  <si>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</si>
  <si>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</si>
  <si>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</si>
  <si>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</si>
  <si>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</si>
  <si>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</si>
  <si>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</si>
  <si>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</si>
  <si>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</si>
  <si>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</si>
  <si>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</si>
  <si>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</si>
  <si>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</si>
  <si>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</si>
  <si>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</si>
  <si>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</si>
  <si>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</si>
  <si>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</si>
  <si>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</si>
  <si>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</si>
  <si>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</si>
  <si>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</si>
  <si>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</si>
  <si>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</si>
  <si>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</si>
  <si>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</si>
  <si>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</si>
  <si>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</si>
  <si>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</si>
  <si>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</si>
  <si>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</si>
  <si>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</si>
  <si>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</si>
  <si>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</si>
  <si>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</si>
  <si>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</si>
  <si>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</si>
  <si>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</si>
  <si>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</si>
  <si>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</si>
  <si>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</si>
  <si>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</si>
  <si>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</si>
  <si>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</si>
  <si>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</si>
  <si>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</si>
  <si>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</si>
  <si>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</si>
  <si>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</si>
  <si>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</si>
  <si>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</si>
  <si>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</si>
  <si>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</si>
  <si>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</si>
  <si>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</si>
  <si>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</si>
  <si>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</si>
  <si>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</si>
  <si>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</si>
  <si>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</si>
  <si>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</si>
  <si>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</si>
  <si>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</si>
  <si>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</si>
  <si>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</si>
  <si>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</si>
  <si>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</si>
  <si>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</si>
  <si>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</si>
  <si>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</si>
  <si>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</si>
  <si>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</si>
  <si>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</si>
  <si>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</si>
  <si>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</si>
  <si>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</si>
  <si>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</si>
  <si>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</si>
  <si>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</si>
  <si>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</si>
  <si>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</si>
  <si>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</si>
  <si>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</si>
  <si>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</si>
  <si>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</si>
  <si>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</si>
  <si>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</si>
  <si>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</si>
  <si>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</si>
  <si>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</si>
  <si>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</si>
  <si>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</si>
  <si>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</si>
  <si>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</si>
  <si>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</si>
  <si>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</si>
  <si>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</si>
  <si>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</si>
  <si>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</si>
  <si>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</si>
  <si>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</si>
  <si>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</si>
  <si>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</si>
  <si>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</si>
  <si>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</si>
  <si>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</si>
  <si>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</si>
  <si>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</si>
  <si>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</si>
  <si>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</si>
  <si>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</si>
  <si>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</si>
  <si>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</si>
  <si>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</si>
  <si>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</si>
  <si>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</si>
  <si>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</si>
  <si>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</si>
  <si>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</si>
  <si>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</si>
  <si>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</si>
  <si>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</si>
  <si>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</si>
  <si>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</si>
  <si>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</si>
  <si>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</si>
  <si>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</si>
  <si>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</si>
  <si>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</si>
  <si>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</si>
  <si>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</si>
  <si>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</si>
  <si>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</si>
  <si>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</si>
  <si>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</si>
  <si>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</si>
  <si>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</si>
  <si>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</si>
  <si>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</si>
  <si>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</si>
  <si>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</si>
  <si>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</si>
  <si>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</si>
  <si>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</si>
  <si>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</si>
  <si>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</si>
  <si>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</si>
  <si>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</si>
  <si>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</si>
  <si>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</si>
  <si>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</si>
  <si>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</si>
  <si>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</si>
  <si>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</si>
  <si>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</si>
  <si>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</si>
  <si>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</si>
  <si>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</si>
  <si>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</si>
  <si>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</si>
  <si>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</si>
  <si>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</si>
  <si>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</si>
  <si>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</si>
  <si>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</si>
  <si>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</si>
  <si>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</si>
  <si>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</si>
  <si>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</si>
  <si>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</si>
  <si>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</si>
  <si>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</si>
  <si>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</si>
  <si>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</si>
  <si>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</si>
  <si>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</si>
  <si>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</si>
  <si>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</si>
  <si>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</si>
  <si>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</si>
  <si>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</si>
  <si>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</si>
  <si>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</si>
  <si>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</si>
  <si>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</si>
  <si>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</si>
  <si>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</si>
  <si>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</si>
  <si>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</si>
  <si>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</si>
  <si>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</si>
  <si>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</si>
  <si>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</si>
  <si>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</si>
  <si>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</si>
  <si>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</si>
  <si>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</si>
  <si>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</si>
  <si>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</si>
  <si>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</si>
  <si>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</si>
  <si>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</si>
  <si>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</si>
  <si>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</si>
  <si>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</si>
  <si>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</si>
  <si>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</si>
  <si>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</si>
  <si>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</si>
  <si>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</si>
  <si>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</si>
  <si>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</si>
  <si>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</si>
  <si>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</si>
  <si>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</si>
  <si>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</si>
  <si>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</si>
  <si>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</si>
  <si>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</si>
  <si>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</si>
  <si>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</si>
  <si>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</si>
  <si>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</si>
  <si>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</si>
  <si>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</si>
  <si>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</si>
  <si>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</si>
  <si>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</si>
  <si>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</si>
  <si>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</si>
  <si>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</si>
  <si>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</si>
  <si>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</si>
  <si>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</si>
  <si>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</si>
  <si>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</si>
  <si>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</si>
  <si>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</si>
  <si>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</si>
  <si>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</si>
  <si>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</si>
  <si>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</si>
  <si>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</si>
  <si>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</si>
  <si>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</si>
  <si>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</si>
  <si>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</si>
  <si>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</si>
  <si>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</si>
  <si>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</si>
  <si>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</si>
  <si>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</si>
  <si>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</si>
  <si>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</si>
  <si>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</si>
  <si>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</si>
  <si>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</si>
  <si>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</si>
  <si>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</si>
  <si>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</si>
  <si>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</si>
  <si>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</si>
  <si>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</si>
  <si>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</si>
  <si>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</si>
  <si>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</si>
  <si>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</si>
  <si>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</si>
  <si>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</si>
  <si>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</si>
  <si>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</si>
  <si>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</si>
  <si>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</si>
  <si>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</si>
  <si>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</si>
  <si>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</si>
  <si>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</si>
  <si>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</si>
  <si>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</si>
  <si>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</si>
  <si>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</si>
  <si>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</si>
  <si>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</si>
  <si>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</si>
  <si>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</si>
  <si>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</si>
  <si>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</si>
  <si>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</si>
  <si>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</si>
  <si>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</si>
  <si>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</si>
  <si>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</si>
  <si>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</si>
  <si>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</si>
  <si>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</si>
  <si>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</si>
  <si>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</si>
  <si>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</si>
  <si>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</si>
  <si>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</si>
  <si>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</si>
  <si>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</si>
  <si>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</si>
  <si>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</si>
  <si>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</si>
  <si>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</si>
  <si>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</si>
  <si>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</si>
  <si>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</si>
  <si>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</si>
  <si>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</si>
  <si>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</si>
  <si>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</si>
  <si>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</si>
  <si>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</si>
  <si>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</si>
  <si>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</si>
  <si>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</si>
  <si>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</si>
  <si>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</si>
  <si>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</si>
  <si>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</si>
  <si>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</si>
  <si>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</si>
  <si>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</si>
  <si>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</si>
  <si>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</si>
  <si>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</si>
  <si>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</si>
  <si>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</si>
  <si>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</si>
  <si>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</si>
  <si>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</si>
  <si>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</si>
  <si>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</si>
  <si>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</si>
  <si>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</si>
  <si>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</si>
  <si>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</si>
  <si>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</si>
  <si>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</si>
  <si>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</si>
  <si>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</si>
  <si>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</si>
  <si>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</si>
  <si>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</si>
  <si>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</si>
  <si>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</si>
  <si>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</si>
  <si>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</si>
  <si>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</si>
  <si>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</si>
  <si>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</si>
  <si>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</si>
  <si>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</si>
  <si>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</si>
  <si>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</si>
  <si>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</si>
  <si>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</si>
  <si>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</si>
  <si>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</si>
  <si>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</si>
  <si>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</si>
  <si>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</si>
  <si>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</si>
  <si>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</si>
  <si>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</si>
  <si>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</si>
  <si>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</si>
  <si>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</si>
  <si>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</si>
  <si>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</si>
  <si>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</si>
  <si>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</si>
  <si>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</si>
  <si>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</si>
  <si>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</si>
  <si>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</si>
  <si>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</si>
  <si>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</si>
  <si>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</si>
  <si>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</si>
  <si>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</si>
  <si>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</si>
  <si>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</si>
  <si>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</si>
  <si>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</si>
  <si>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</si>
  <si>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</si>
  <si>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</si>
  <si>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</si>
  <si>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</si>
  <si>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</si>
  <si>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</si>
  <si>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</si>
  <si>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</si>
  <si>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</si>
  <si>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</si>
  <si>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</si>
  <si>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</si>
  <si>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</si>
  <si>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</si>
  <si>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</si>
  <si>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</si>
  <si>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</si>
  <si>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</si>
  <si>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</si>
  <si>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</si>
  <si>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</si>
  <si>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</si>
  <si>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</si>
  <si>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</si>
  <si>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</si>
  <si>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</si>
  <si>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</si>
  <si>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</si>
  <si>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</si>
  <si>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</si>
  <si>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</si>
  <si>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</si>
  <si>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</si>
  <si>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</si>
  <si>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</si>
  <si>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</si>
  <si>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</si>
  <si>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</si>
  <si>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</si>
  <si>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</si>
  <si>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</si>
  <si>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</si>
  <si>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</si>
  <si>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</si>
  <si>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</si>
  <si>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</si>
  <si>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</si>
  <si>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</si>
  <si>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</si>
  <si>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</si>
  <si>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</si>
  <si>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</si>
  <si>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</si>
  <si>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</si>
  <si>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</si>
  <si>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</si>
  <si>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</si>
  <si>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</si>
  <si>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</si>
  <si>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</si>
  <si>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</si>
  <si>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</si>
  <si>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</si>
  <si>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</si>
  <si>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</si>
  <si>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</si>
  <si>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</si>
  <si>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</si>
  <si>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</si>
  <si>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</si>
  <si>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</si>
  <si>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</si>
  <si>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</si>
  <si>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</si>
  <si>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</si>
  <si>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</si>
  <si>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</si>
  <si>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</si>
  <si>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</si>
  <si>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</si>
  <si>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</si>
  <si>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</si>
  <si>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</si>
  <si>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</si>
  <si>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</si>
  <si>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</si>
  <si>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</si>
  <si>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</si>
  <si>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</si>
  <si>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</si>
  <si>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</si>
  <si>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</si>
  <si>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</si>
  <si>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</si>
  <si>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</si>
  <si>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</si>
  <si>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</si>
  <si>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</si>
  <si>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</si>
  <si>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</si>
  <si>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</si>
  <si>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</si>
  <si>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</si>
  <si>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</si>
  <si>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</si>
  <si>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</si>
  <si>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</si>
  <si>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</si>
  <si>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</si>
  <si>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</si>
  <si>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</si>
  <si>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</si>
  <si>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</si>
  <si>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</si>
  <si>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</si>
  <si>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</si>
  <si>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</si>
  <si>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</si>
  <si>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</si>
  <si>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</si>
  <si>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</si>
  <si>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</si>
  <si>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</si>
  <si>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</si>
  <si>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</si>
  <si>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</si>
  <si>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</si>
  <si>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</si>
  <si>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</si>
  <si>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</si>
  <si>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</si>
  <si>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</si>
  <si>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</si>
  <si>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</si>
  <si>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</si>
  <si>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</si>
  <si>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</si>
  <si>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</si>
  <si>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</si>
  <si>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</si>
  <si>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</si>
  <si>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</si>
  <si>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</si>
  <si>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</si>
  <si>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</si>
  <si>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</si>
  <si>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</si>
  <si>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</si>
  <si>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</si>
  <si>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</si>
  <si>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</si>
  <si>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</si>
  <si>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</si>
  <si>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</si>
  <si>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</si>
  <si>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</si>
  <si>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</si>
  <si>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</si>
  <si>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</si>
  <si>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</si>
  <si>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</si>
  <si>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</si>
  <si>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</si>
  <si>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</si>
  <si>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</si>
  <si>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</si>
  <si>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</si>
  <si>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</si>
  <si>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</si>
  <si>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</si>
  <si>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</si>
  <si>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</si>
  <si>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</si>
  <si>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</si>
  <si>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</si>
  <si>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</si>
  <si>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</si>
  <si>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</si>
  <si>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</si>
  <si>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</si>
  <si>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</si>
  <si>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</si>
  <si>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</si>
  <si>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</si>
  <si>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</si>
  <si>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</si>
  <si>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</si>
  <si>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</si>
  <si>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</si>
  <si>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</si>
  <si>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</si>
  <si>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</si>
  <si>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</si>
  <si>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</si>
  <si>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</si>
  <si>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</si>
  <si>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</si>
  <si>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</si>
  <si>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</si>
  <si>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</si>
  <si>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</si>
  <si>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</si>
  <si>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</si>
  <si>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</si>
  <si>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</si>
  <si>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Oakland</t>
  </si>
  <si>
    <t>Danny Haber</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</si>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</sst>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2" fontId="25" fillId="5" borderId="3" xfId="0" applyNumberFormat="1" applyFont="1"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16" fillId="5" borderId="6" xfId="0" applyFont="1" applyFill="1" applyBorder="1" applyAlignment="1" applyProtection="1">
      <alignment horizontal="center"/>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636%20Locust%20Avenue_2025-09-07_Final.xlsx" TargetMode="External"/><Relationship Id="rId1" Type="http://schemas.openxmlformats.org/officeDocument/2006/relationships/externalLinkPath" Target="/.shortcut-targets-by-id/1WNGfudZtUsAXSMUn1XooD6zTTnfl-f_8/Projects/Sep%209th%202025/Current%20model/636%20Locust%20Avenue_2025-09-07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County and City information"/>
      <sheetName val="Data Port"/>
      <sheetName val="Keybank exp"/>
      <sheetName val="CMFA application"/>
      <sheetName val="Initial Screen"/>
      <sheetName val="Sheet1"/>
      <sheetName val="Solver"/>
      <sheetName val="Adjustments"/>
      <sheetName val="&gt;&gt;"/>
      <sheetName val="Summary"/>
      <sheetName val="Rent Builder"/>
      <sheetName val="Sources &amp; Uses"/>
      <sheetName val="CDLAC Score and Tiebreaker"/>
      <sheetName val="Assumptions"/>
      <sheetName val="UnitMix"/>
      <sheetName val="Dev Budget"/>
      <sheetName val="Financing"/>
      <sheetName val="Cash Flow"/>
      <sheetName val="LIHTC cash flow"/>
      <sheetName val="OpEx Budget"/>
      <sheetName val="RSMEANS"/>
      <sheetName val="Dev Fee Calculation"/>
      <sheetName val="Federal Minimum Opex"/>
      <sheetName val="Toggle"/>
      <sheetName val="total pts"/>
      <sheetName val="Scoring System"/>
      <sheetName val="Tables"/>
      <sheetName val="Utility Allow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D2">
            <v>45909</v>
          </cell>
          <cell r="G2">
            <v>45909</v>
          </cell>
        </row>
        <row r="4">
          <cell r="G4">
            <v>46160</v>
          </cell>
        </row>
        <row r="5">
          <cell r="G5">
            <v>46648</v>
          </cell>
        </row>
        <row r="6">
          <cell r="G6">
            <v>46922</v>
          </cell>
        </row>
        <row r="11">
          <cell r="G11" t="str">
            <v>(i)</v>
          </cell>
        </row>
        <row r="12">
          <cell r="G12" t="str">
            <v>(i)</v>
          </cell>
        </row>
        <row r="13">
          <cell r="G13" t="str">
            <v>(i)</v>
          </cell>
        </row>
        <row r="14">
          <cell r="G14" t="str">
            <v>(i)</v>
          </cell>
        </row>
        <row r="15">
          <cell r="G15" t="str">
            <v>(i)</v>
          </cell>
        </row>
        <row r="16">
          <cell r="G16" t="str">
            <v>(i)</v>
          </cell>
        </row>
        <row r="18">
          <cell r="D18" t="str">
            <v>Yes</v>
          </cell>
        </row>
        <row r="20">
          <cell r="G20" t="str">
            <v>American Housing Company 1 LLC</v>
          </cell>
        </row>
        <row r="21">
          <cell r="G21" t="str">
            <v>636 N Locust Avenue, Long Beach, CA 90802</v>
          </cell>
        </row>
        <row r="22">
          <cell r="D22" t="str">
            <v>No</v>
          </cell>
        </row>
        <row r="24">
          <cell r="G24" t="str">
            <v>Preliminary Reservation</v>
          </cell>
        </row>
        <row r="25">
          <cell r="G25" t="str">
            <v>CDLAC-CTCAC Joint Application (submitting concurrently)</v>
          </cell>
        </row>
        <row r="26">
          <cell r="G26" t="str">
            <v>No</v>
          </cell>
        </row>
        <row r="27">
          <cell r="G27" t="str">
            <v>No</v>
          </cell>
        </row>
        <row r="28">
          <cell r="G28" t="str">
            <v>No</v>
          </cell>
        </row>
        <row r="30">
          <cell r="G30" t="str">
            <v>636 N Locust Avenue, Long Beach, CA 90802</v>
          </cell>
        </row>
        <row r="31">
          <cell r="G31" t="str">
            <v>Long Beach</v>
          </cell>
        </row>
        <row r="32">
          <cell r="G32" t="str">
            <v>Los Angeles</v>
          </cell>
        </row>
        <row r="33">
          <cell r="G33" t="str">
            <v>90802</v>
          </cell>
        </row>
        <row r="34">
          <cell r="G34" t="str">
            <v>576200</v>
          </cell>
        </row>
        <row r="35">
          <cell r="G35" t="str">
            <v>7273-026-004 , , , , ,</v>
          </cell>
        </row>
        <row r="36">
          <cell r="G36" t="str">
            <v>Moderate Resource</v>
          </cell>
        </row>
        <row r="37">
          <cell r="G37" t="str">
            <v>No</v>
          </cell>
        </row>
        <row r="38">
          <cell r="G38" t="str">
            <v>No</v>
          </cell>
        </row>
        <row r="39">
          <cell r="G39">
            <v>42</v>
          </cell>
        </row>
        <row r="40">
          <cell r="G40" t="str">
            <v>Yes</v>
          </cell>
        </row>
        <row r="41">
          <cell r="G41">
            <v>69</v>
          </cell>
        </row>
        <row r="43">
          <cell r="G43">
            <v>33</v>
          </cell>
        </row>
        <row r="44">
          <cell r="G44" t="str">
            <v>No</v>
          </cell>
        </row>
        <row r="45">
          <cell r="G45" t="str">
            <v>No</v>
          </cell>
        </row>
        <row r="46">
          <cell r="G46" t="str">
            <v>No</v>
          </cell>
        </row>
        <row r="48">
          <cell r="G48" t="str">
            <v>(select)</v>
          </cell>
        </row>
        <row r="50">
          <cell r="G50" t="str">
            <v>40%/60% Average Income</v>
          </cell>
        </row>
        <row r="51">
          <cell r="G51" t="str">
            <v xml:space="preserve">A project scoring maximum New Construction Density and Local Incentives points under Section 5230(c) </v>
          </cell>
        </row>
        <row r="52">
          <cell r="D52" t="str">
            <v>Non-Targeted</v>
          </cell>
          <cell r="G52" t="str">
            <v>Non-Targeted</v>
          </cell>
        </row>
        <row r="54">
          <cell r="G54" t="str">
            <v>City of Los Angeles</v>
          </cell>
        </row>
        <row r="55">
          <cell r="G55" t="str">
            <v>City of Los Angeles</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9">
          <cell r="G69">
            <v>8584495270</v>
          </cell>
        </row>
        <row r="70">
          <cell r="G70" t="str">
            <v>jeremy@owow.com</v>
          </cell>
        </row>
        <row r="72">
          <cell r="G72" t="str">
            <v>Other</v>
          </cell>
        </row>
        <row r="73">
          <cell r="G73" t="str">
            <v>American Housing Company 1 LLC</v>
          </cell>
        </row>
        <row r="74">
          <cell r="G74" t="str">
            <v>A Limited Liability Company</v>
          </cell>
        </row>
        <row r="76">
          <cell r="G76" t="str">
            <v>American Housing Company 1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 LLC</v>
          </cell>
        </row>
        <row r="87">
          <cell r="G87">
            <v>1E-3</v>
          </cell>
        </row>
        <row r="89">
          <cell r="G89" t="str">
            <v>Community Revitalization and Development Corporation</v>
          </cell>
        </row>
        <row r="90">
          <cell r="G90" t="str">
            <v>Managing GP</v>
          </cell>
        </row>
        <row r="91">
          <cell r="G91" t="str">
            <v>2051 Hilltop Drive, Suite A15</v>
          </cell>
        </row>
        <row r="92">
          <cell r="G92" t="str">
            <v>Redding</v>
          </cell>
        </row>
        <row r="95">
          <cell r="G95" t="str">
            <v>David Rutledge</v>
          </cell>
        </row>
        <row r="96">
          <cell r="G96" t="str">
            <v>510.241.6960</v>
          </cell>
        </row>
        <row r="97">
          <cell r="G97" t="str">
            <v>david@crdc-housing.org</v>
          </cell>
        </row>
        <row r="98">
          <cell r="G98" t="str">
            <v>Nonprofit</v>
          </cell>
        </row>
        <row r="99">
          <cell r="G99" t="str">
            <v>Community Revitalization and Development Corporation</v>
          </cell>
        </row>
        <row r="100">
          <cell r="G100">
            <v>1E-3</v>
          </cell>
        </row>
        <row r="115">
          <cell r="G115" t="str">
            <v>to be formed</v>
          </cell>
        </row>
        <row r="116">
          <cell r="G116">
            <v>46113</v>
          </cell>
        </row>
        <row r="118">
          <cell r="G118" t="str">
            <v>American Housing Company 1 LLC</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oWOW Design LLC</v>
          </cell>
        </row>
        <row r="137">
          <cell r="G137" t="str">
            <v>411 2nd Street</v>
          </cell>
        </row>
        <row r="138">
          <cell r="G138" t="str">
            <v>Oakland, CA 94607</v>
          </cell>
        </row>
        <row r="139">
          <cell r="G139" t="str">
            <v>Mike Baker</v>
          </cell>
        </row>
        <row r="140">
          <cell r="G140" t="str">
            <v>(510) 214-3829‬</v>
          </cell>
        </row>
        <row r="141">
          <cell r="G141">
            <v>0</v>
          </cell>
        </row>
        <row r="142">
          <cell r="G142" t="str">
            <v>mike.baker@owow.com</v>
          </cell>
        </row>
        <row r="144">
          <cell r="G144" t="str">
            <v>Sabelhaus &amp; Strain PC</v>
          </cell>
        </row>
        <row r="145">
          <cell r="G145" t="str">
            <v>1724 10th Street, Suite 110</v>
          </cell>
        </row>
        <row r="146">
          <cell r="G146" t="str">
            <v>Sacramento, CA 95811</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7">
          <cell r="G157">
            <v>0</v>
          </cell>
        </row>
        <row r="158">
          <cell r="G158" t="str">
            <v>andy@owow.com</v>
          </cell>
        </row>
        <row r="160">
          <cell r="G160" t="str">
            <v>Bernard E. REA, CPA</v>
          </cell>
        </row>
        <row r="161">
          <cell r="G161" t="str">
            <v>P.O. Box 492</v>
          </cell>
        </row>
        <row r="162">
          <cell r="G162" t="str">
            <v>Aubrey, TX 76227</v>
          </cell>
        </row>
        <row r="163">
          <cell r="G163" t="str">
            <v>Bernard E. REA</v>
          </cell>
        </row>
        <row r="164">
          <cell r="G164" t="str">
            <v>209.933.9113</v>
          </cell>
        </row>
        <row r="165">
          <cell r="G165">
            <v>0</v>
          </cell>
        </row>
        <row r="166">
          <cell r="G166" t="str">
            <v>BReaCPA@AOL.com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3">
          <cell r="G173">
            <v>0</v>
          </cell>
        </row>
        <row r="174">
          <cell r="G174" t="str">
            <v>avery@fard.com</v>
          </cell>
        </row>
        <row r="176">
          <cell r="G176" t="str">
            <v>Bernard E. REA, CPA</v>
          </cell>
        </row>
        <row r="177">
          <cell r="G177" t="str">
            <v>P.O. Box 492</v>
          </cell>
        </row>
        <row r="178">
          <cell r="G178" t="str">
            <v>Aubrey, TX 76227</v>
          </cell>
        </row>
        <row r="179">
          <cell r="G179" t="str">
            <v>Bernard E. REA</v>
          </cell>
        </row>
        <row r="180">
          <cell r="G180" t="str">
            <v>209.933.9113</v>
          </cell>
        </row>
        <row r="181">
          <cell r="G181">
            <v>0</v>
          </cell>
        </row>
        <row r="182">
          <cell r="G182" t="str">
            <v>BReaCPA@AOL.com</v>
          </cell>
        </row>
        <row r="184">
          <cell r="G184" t="str">
            <v>Key CDC</v>
          </cell>
        </row>
        <row r="185">
          <cell r="G185" t="str">
            <v>1675 Broadway</v>
          </cell>
        </row>
        <row r="186">
          <cell r="G186" t="str">
            <v>Denver, CO 80202</v>
          </cell>
        </row>
        <row r="187">
          <cell r="G187" t="str">
            <v>Eileen Tran</v>
          </cell>
        </row>
        <row r="188">
          <cell r="G188" t="str">
            <v>720.904.4091</v>
          </cell>
        </row>
        <row r="189">
          <cell r="G189">
            <v>0</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7">
          <cell r="G197">
            <v>0</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5">
          <cell r="G205">
            <v>0</v>
          </cell>
        </row>
        <row r="206">
          <cell r="G206" t="str">
            <v>btd@theconcordgroup.com</v>
          </cell>
        </row>
        <row r="232">
          <cell r="G232" t="str">
            <v>FPI Management</v>
          </cell>
        </row>
        <row r="233">
          <cell r="G233" t="str">
            <v>800 Iron Point Road</v>
          </cell>
        </row>
        <row r="234">
          <cell r="G234" t="str">
            <v>Folsom, CA 95630</v>
          </cell>
        </row>
        <row r="235">
          <cell r="G235" t="str">
            <v>Cynthia Wray</v>
          </cell>
        </row>
        <row r="236">
          <cell r="G236" t="str">
            <v>916.850.4484</v>
          </cell>
        </row>
        <row r="237">
          <cell r="G237">
            <v>0</v>
          </cell>
        </row>
        <row r="238">
          <cell r="G238" t="str">
            <v>cynthia.wray@fpimgt.com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v>0</v>
          </cell>
        </row>
        <row r="269">
          <cell r="G269">
            <v>0</v>
          </cell>
        </row>
        <row r="270">
          <cell r="G270">
            <v>0</v>
          </cell>
        </row>
        <row r="271">
          <cell r="G271">
            <v>0</v>
          </cell>
        </row>
        <row r="273">
          <cell r="G273">
            <v>0</v>
          </cell>
        </row>
        <row r="274">
          <cell r="G274">
            <v>0</v>
          </cell>
        </row>
        <row r="275">
          <cell r="G275">
            <v>0</v>
          </cell>
        </row>
        <row r="277">
          <cell r="G277">
            <v>45909</v>
          </cell>
        </row>
        <row r="278">
          <cell r="G278">
            <v>0</v>
          </cell>
        </row>
        <row r="279">
          <cell r="G279">
            <v>0</v>
          </cell>
        </row>
        <row r="280">
          <cell r="G280">
            <v>0</v>
          </cell>
        </row>
        <row r="281">
          <cell r="G281">
            <v>0</v>
          </cell>
        </row>
        <row r="282">
          <cell r="G282">
            <v>0</v>
          </cell>
        </row>
        <row r="284">
          <cell r="G284" t="str">
            <v>No</v>
          </cell>
        </row>
        <row r="285">
          <cell r="G285">
            <v>0</v>
          </cell>
        </row>
        <row r="286">
          <cell r="G286">
            <v>0</v>
          </cell>
        </row>
        <row r="287">
          <cell r="G287" t="str">
            <v>No</v>
          </cell>
        </row>
        <row r="288">
          <cell r="G288">
            <v>0</v>
          </cell>
        </row>
        <row r="289">
          <cell r="G289">
            <v>0</v>
          </cell>
        </row>
        <row r="290">
          <cell r="G290">
            <v>0</v>
          </cell>
        </row>
        <row r="292">
          <cell r="G292" t="str">
            <v>No</v>
          </cell>
        </row>
        <row r="293">
          <cell r="G293" t="str">
            <v>N/A</v>
          </cell>
        </row>
        <row r="294">
          <cell r="G294">
            <v>0</v>
          </cell>
        </row>
        <row r="295">
          <cell r="G295">
            <v>0</v>
          </cell>
        </row>
        <row r="296">
          <cell r="G296" t="str">
            <v>Secured by both Leasehold &amp; Fee Interests</v>
          </cell>
        </row>
        <row r="297">
          <cell r="G297">
            <v>99</v>
          </cell>
        </row>
        <row r="298">
          <cell r="G298">
            <v>0</v>
          </cell>
        </row>
        <row r="302">
          <cell r="G302" t="str">
            <v>Other (Specify below)</v>
          </cell>
        </row>
        <row r="303">
          <cell r="G303" t="str">
            <v>Yes</v>
          </cell>
        </row>
        <row r="305">
          <cell r="G305" t="str">
            <v>N/A</v>
          </cell>
        </row>
        <row r="306">
          <cell r="G306" t="str">
            <v>N/A</v>
          </cell>
        </row>
        <row r="307">
          <cell r="G307" t="str">
            <v>13-story residential mixed-use buildling (10.54-stories of residential over 2.46-stories of parking)</v>
          </cell>
        </row>
        <row r="309">
          <cell r="G309">
            <v>0.51652892561983466</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346</v>
          </cell>
        </row>
        <row r="323">
          <cell r="G323">
            <v>0</v>
          </cell>
        </row>
        <row r="324">
          <cell r="G324">
            <v>342</v>
          </cell>
        </row>
        <row r="325">
          <cell r="G325">
            <v>342</v>
          </cell>
        </row>
        <row r="326">
          <cell r="G326">
            <v>185220</v>
          </cell>
        </row>
        <row r="327">
          <cell r="G327">
            <v>185220</v>
          </cell>
        </row>
        <row r="328">
          <cell r="G328">
            <v>3000</v>
          </cell>
        </row>
        <row r="329">
          <cell r="G329">
            <v>0</v>
          </cell>
        </row>
        <row r="330">
          <cell r="G330">
            <v>27204</v>
          </cell>
        </row>
        <row r="331">
          <cell r="G331">
            <v>50287.5</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52</v>
          </cell>
        </row>
        <row r="344">
          <cell r="G344" t="str">
            <v>Mixed Use Residential</v>
          </cell>
        </row>
        <row r="345">
          <cell r="G345" t="str">
            <v>PD-30; 1000 DUA</v>
          </cell>
        </row>
        <row r="346">
          <cell r="G346" t="str">
            <v>PD-30; 1000 DUA</v>
          </cell>
        </row>
        <row r="348">
          <cell r="G348" t="str">
            <v>No</v>
          </cell>
        </row>
        <row r="349">
          <cell r="G349" t="str">
            <v>183 Max</v>
          </cell>
        </row>
        <row r="350">
          <cell r="G350">
            <v>0</v>
          </cell>
        </row>
        <row r="351">
          <cell r="G351">
            <v>144</v>
          </cell>
        </row>
        <row r="359">
          <cell r="G359" t="str">
            <v>Keybank National Bank (TE Bonds)</v>
          </cell>
        </row>
        <row r="360">
          <cell r="G360" t="str">
            <v>Loan, Tax-Exempt</v>
          </cell>
        </row>
        <row r="363">
          <cell r="G363">
            <v>6.2100000000000002E-2</v>
          </cell>
        </row>
        <row r="364">
          <cell r="G364" t="str">
            <v>Fixed</v>
          </cell>
        </row>
        <row r="367">
          <cell r="G367">
            <v>29391578</v>
          </cell>
        </row>
        <row r="370">
          <cell r="G370" t="str">
            <v>Keybank National Bank (TE Recyled bonds)</v>
          </cell>
        </row>
        <row r="371">
          <cell r="G371" t="str">
            <v>Loan, Tax-Exempt, Recycled</v>
          </cell>
        </row>
        <row r="374">
          <cell r="G374">
            <v>6.2100000000000002E-2</v>
          </cell>
        </row>
        <row r="375">
          <cell r="G375" t="str">
            <v>Fixed</v>
          </cell>
        </row>
        <row r="378">
          <cell r="G378">
            <v>10108828</v>
          </cell>
        </row>
        <row r="381">
          <cell r="G381" t="str">
            <v>Keybank National Bank (Taxable loan)</v>
          </cell>
        </row>
        <row r="382">
          <cell r="G382" t="str">
            <v>Loan, Taxable</v>
          </cell>
        </row>
        <row r="385">
          <cell r="G385">
            <v>6.6099999999999992E-2</v>
          </cell>
        </row>
        <row r="386">
          <cell r="G386" t="str">
            <v>Fixed</v>
          </cell>
        </row>
        <row r="389">
          <cell r="G389">
            <v>35305597</v>
          </cell>
        </row>
        <row r="392">
          <cell r="G392" t="str">
            <v>Key CDC (Tax Credit Equity)</v>
          </cell>
        </row>
        <row r="393">
          <cell r="G393" t="str">
            <v>Equity, LIHTC Investor</v>
          </cell>
        </row>
        <row r="396">
          <cell r="G396">
            <v>0</v>
          </cell>
        </row>
        <row r="397">
          <cell r="G397" t="str">
            <v>Fixed</v>
          </cell>
        </row>
        <row r="400">
          <cell r="G400">
            <v>22247471</v>
          </cell>
        </row>
        <row r="401">
          <cell r="G401">
            <v>0.8175850571633636</v>
          </cell>
        </row>
        <row r="405">
          <cell r="G405" t="str">
            <v>Deferred Fees until Conversion (Developer fee reserves, etc)</v>
          </cell>
        </row>
        <row r="406">
          <cell r="G406" t="str">
            <v>Cost Deferral</v>
          </cell>
        </row>
        <row r="409">
          <cell r="G409">
            <v>0</v>
          </cell>
        </row>
        <row r="410">
          <cell r="G410" t="str">
            <v>Fixed</v>
          </cell>
        </row>
        <row r="413">
          <cell r="G413">
            <v>5407979</v>
          </cell>
        </row>
        <row r="416">
          <cell r="G416" t="str">
            <v>Deferred Developer Fee</v>
          </cell>
        </row>
        <row r="417">
          <cell r="G417" t="str">
            <v>Developer Fee, Deferral</v>
          </cell>
        </row>
        <row r="420">
          <cell r="G420">
            <v>0</v>
          </cell>
        </row>
        <row r="421">
          <cell r="G421" t="str">
            <v>Fixed</v>
          </cell>
        </row>
        <row r="424">
          <cell r="G424">
            <v>10360285</v>
          </cell>
        </row>
        <row r="427">
          <cell r="G427" t="str">
            <v>GP Loan Note</v>
          </cell>
        </row>
        <row r="428">
          <cell r="G428" t="str">
            <v>Loan, General Partner</v>
          </cell>
        </row>
        <row r="429">
          <cell r="G429">
            <v>180</v>
          </cell>
        </row>
        <row r="431">
          <cell r="G431">
            <v>0</v>
          </cell>
        </row>
        <row r="432">
          <cell r="G432" t="str">
            <v>Fixed</v>
          </cell>
        </row>
        <row r="435">
          <cell r="G435">
            <v>0</v>
          </cell>
        </row>
        <row r="438">
          <cell r="G438" t="str">
            <v>Leasehold</v>
          </cell>
        </row>
        <row r="439">
          <cell r="G439" t="str">
            <v>Other Source</v>
          </cell>
        </row>
        <row r="440">
          <cell r="G440">
            <v>1188</v>
          </cell>
        </row>
        <row r="442">
          <cell r="G442">
            <v>0</v>
          </cell>
        </row>
        <row r="443">
          <cell r="G443" t="str">
            <v>Fixed</v>
          </cell>
        </row>
        <row r="446">
          <cell r="G446">
            <v>0</v>
          </cell>
        </row>
        <row r="449">
          <cell r="G449">
            <v>0</v>
          </cell>
        </row>
        <row r="450">
          <cell r="G450">
            <v>0</v>
          </cell>
        </row>
        <row r="453">
          <cell r="G453">
            <v>0</v>
          </cell>
        </row>
        <row r="454">
          <cell r="G454" t="str">
            <v>Fixed</v>
          </cell>
        </row>
        <row r="457">
          <cell r="G457">
            <v>0</v>
          </cell>
        </row>
        <row r="460">
          <cell r="G460">
            <v>0</v>
          </cell>
        </row>
        <row r="461">
          <cell r="G461">
            <v>0</v>
          </cell>
        </row>
        <row r="464">
          <cell r="G464">
            <v>0</v>
          </cell>
        </row>
        <row r="465">
          <cell r="G465" t="str">
            <v>Fixed</v>
          </cell>
        </row>
        <row r="468">
          <cell r="G468">
            <v>0</v>
          </cell>
        </row>
        <row r="471">
          <cell r="G471">
            <v>0</v>
          </cell>
        </row>
        <row r="472">
          <cell r="G472">
            <v>0</v>
          </cell>
        </row>
        <row r="475">
          <cell r="G475">
            <v>0</v>
          </cell>
        </row>
        <row r="476">
          <cell r="G476" t="str">
            <v>Fixed</v>
          </cell>
        </row>
        <row r="479">
          <cell r="G479">
            <v>0</v>
          </cell>
        </row>
        <row r="482">
          <cell r="G482">
            <v>0</v>
          </cell>
        </row>
        <row r="483">
          <cell r="G483">
            <v>0</v>
          </cell>
        </row>
        <row r="486">
          <cell r="G486">
            <v>0</v>
          </cell>
        </row>
        <row r="487">
          <cell r="G487" t="str">
            <v>Fixed</v>
          </cell>
        </row>
        <row r="490">
          <cell r="G490">
            <v>0</v>
          </cell>
        </row>
        <row r="493">
          <cell r="G493" t="str">
            <v>1675 Broadway</v>
          </cell>
        </row>
        <row r="494">
          <cell r="G494" t="str">
            <v>Denver, CO 80202</v>
          </cell>
        </row>
        <row r="495">
          <cell r="G495" t="str">
            <v>Eileen Tran</v>
          </cell>
        </row>
        <row r="496">
          <cell r="G496" t="str">
            <v>720.904.4091</v>
          </cell>
        </row>
        <row r="497">
          <cell r="G497" t="str">
            <v>Tax exempt bonds</v>
          </cell>
        </row>
        <row r="498">
          <cell r="G498" t="str">
            <v>N/A</v>
          </cell>
        </row>
        <row r="499">
          <cell r="G499" t="str">
            <v>Yes</v>
          </cell>
        </row>
        <row r="502">
          <cell r="G502" t="str">
            <v>1675 Broadway</v>
          </cell>
        </row>
        <row r="503">
          <cell r="G503" t="str">
            <v>Denver, CO 80202</v>
          </cell>
        </row>
        <row r="504">
          <cell r="G504" t="str">
            <v>Eileen Tran</v>
          </cell>
        </row>
        <row r="505">
          <cell r="G505" t="str">
            <v>720.904.4091</v>
          </cell>
        </row>
        <row r="506">
          <cell r="G506" t="str">
            <v>Tax exempt bonds - Recycled</v>
          </cell>
        </row>
        <row r="507">
          <cell r="G507" t="str">
            <v>N/A</v>
          </cell>
        </row>
        <row r="508">
          <cell r="G508" t="str">
            <v>Yes</v>
          </cell>
        </row>
        <row r="511">
          <cell r="G511" t="str">
            <v>1675 Broadway</v>
          </cell>
        </row>
        <row r="512">
          <cell r="G512" t="str">
            <v>Denver, CO 80202</v>
          </cell>
        </row>
        <row r="513">
          <cell r="G513" t="str">
            <v>Eileen Tran</v>
          </cell>
        </row>
        <row r="514">
          <cell r="G514" t="str">
            <v>720.904.4091</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43">
          <cell r="G543" t="str">
            <v>411 2nd Street</v>
          </cell>
        </row>
        <row r="544">
          <cell r="G544" t="str">
            <v>Oakland</v>
          </cell>
        </row>
        <row r="545">
          <cell r="G545" t="str">
            <v>Jeremy Harris</v>
          </cell>
        </row>
        <row r="546">
          <cell r="G546">
            <v>8584495270</v>
          </cell>
        </row>
        <row r="547">
          <cell r="G547" t="str">
            <v>Deferred Development Fee</v>
          </cell>
        </row>
        <row r="548">
          <cell r="G548" t="str">
            <v>Yes</v>
          </cell>
        </row>
        <row r="551">
          <cell r="G551" t="str">
            <v>411 2nd Street</v>
          </cell>
        </row>
        <row r="552">
          <cell r="G552" t="str">
            <v>Oakland</v>
          </cell>
        </row>
        <row r="553">
          <cell r="G553" t="str">
            <v>Jeremy Harris</v>
          </cell>
        </row>
        <row r="554">
          <cell r="G554">
            <v>8584495270</v>
          </cell>
        </row>
        <row r="555">
          <cell r="G555" t="str">
            <v>Deferred Development Fee</v>
          </cell>
        </row>
        <row r="556">
          <cell r="G556" t="str">
            <v>Yes</v>
          </cell>
        </row>
        <row r="591">
          <cell r="G591" t="str">
            <v>Keybank (Permanent Loan)</v>
          </cell>
        </row>
        <row r="593">
          <cell r="G593">
            <v>180</v>
          </cell>
        </row>
        <row r="594">
          <cell r="G594">
            <v>480</v>
          </cell>
        </row>
        <row r="595">
          <cell r="G595">
            <v>0.06</v>
          </cell>
        </row>
        <row r="596">
          <cell r="G596" t="str">
            <v>Required</v>
          </cell>
        </row>
        <row r="598">
          <cell r="G598">
            <v>3817364</v>
          </cell>
        </row>
        <row r="600">
          <cell r="G600">
            <v>57816376</v>
          </cell>
        </row>
        <row r="603">
          <cell r="G603" t="str">
            <v>NOI residual from lease-up</v>
          </cell>
        </row>
        <row r="605">
          <cell r="G605">
            <v>0</v>
          </cell>
        </row>
        <row r="606">
          <cell r="G606">
            <v>0</v>
          </cell>
        </row>
        <row r="607">
          <cell r="G607">
            <v>0</v>
          </cell>
        </row>
        <row r="608">
          <cell r="G608" t="str">
            <v>Residual</v>
          </cell>
        </row>
        <row r="612">
          <cell r="G612">
            <v>150000</v>
          </cell>
        </row>
        <row r="615">
          <cell r="G615" t="str">
            <v>Deferred Developer Fee</v>
          </cell>
        </row>
        <row r="617">
          <cell r="G617">
            <v>0</v>
          </cell>
        </row>
        <row r="618">
          <cell r="G618">
            <v>0</v>
          </cell>
        </row>
        <row r="619">
          <cell r="G619">
            <v>0</v>
          </cell>
        </row>
        <row r="620">
          <cell r="G620" t="str">
            <v>Residual</v>
          </cell>
        </row>
        <row r="624">
          <cell r="G624">
            <v>10360285</v>
          </cell>
        </row>
        <row r="627">
          <cell r="G627" t="str">
            <v>GP Loan Note</v>
          </cell>
        </row>
        <row r="628">
          <cell r="G628" t="str">
            <v>Loan, General Partner</v>
          </cell>
        </row>
        <row r="629">
          <cell r="G629">
            <v>180</v>
          </cell>
        </row>
        <row r="630">
          <cell r="G630">
            <v>0</v>
          </cell>
        </row>
        <row r="631">
          <cell r="G631">
            <v>0</v>
          </cell>
        </row>
        <row r="632">
          <cell r="G632" t="str">
            <v>Residual</v>
          </cell>
        </row>
        <row r="636">
          <cell r="G636">
            <v>0</v>
          </cell>
        </row>
        <row r="639">
          <cell r="G639" t="str">
            <v>Leasehold</v>
          </cell>
        </row>
        <row r="640">
          <cell r="G640" t="str">
            <v>Other Source</v>
          </cell>
        </row>
        <row r="641">
          <cell r="G641">
            <v>1188</v>
          </cell>
        </row>
        <row r="642">
          <cell r="G642">
            <v>0</v>
          </cell>
        </row>
        <row r="643">
          <cell r="G643">
            <v>0</v>
          </cell>
        </row>
        <row r="644">
          <cell r="G644" t="str">
            <v>Residual</v>
          </cell>
        </row>
        <row r="648">
          <cell r="G648">
            <v>0</v>
          </cell>
        </row>
        <row r="651">
          <cell r="G651">
            <v>0</v>
          </cell>
        </row>
        <row r="653">
          <cell r="G653">
            <v>0</v>
          </cell>
        </row>
        <row r="654">
          <cell r="G654">
            <v>0</v>
          </cell>
        </row>
        <row r="655">
          <cell r="G655">
            <v>0</v>
          </cell>
        </row>
        <row r="660">
          <cell r="G660">
            <v>0</v>
          </cell>
        </row>
        <row r="663">
          <cell r="G663">
            <v>0</v>
          </cell>
        </row>
        <row r="665">
          <cell r="G665">
            <v>0</v>
          </cell>
        </row>
        <row r="666">
          <cell r="G666">
            <v>0</v>
          </cell>
        </row>
        <row r="667">
          <cell r="G667">
            <v>0</v>
          </cell>
        </row>
        <row r="672">
          <cell r="G672">
            <v>0</v>
          </cell>
        </row>
        <row r="675">
          <cell r="G675">
            <v>0</v>
          </cell>
        </row>
        <row r="677">
          <cell r="G677">
            <v>0</v>
          </cell>
        </row>
        <row r="678">
          <cell r="G678">
            <v>0</v>
          </cell>
        </row>
        <row r="679">
          <cell r="G679">
            <v>0</v>
          </cell>
        </row>
        <row r="684">
          <cell r="G684">
            <v>0</v>
          </cell>
        </row>
        <row r="687">
          <cell r="G687">
            <v>0</v>
          </cell>
        </row>
        <row r="689">
          <cell r="G689">
            <v>0</v>
          </cell>
        </row>
        <row r="690">
          <cell r="G690">
            <v>0</v>
          </cell>
        </row>
        <row r="691">
          <cell r="G691">
            <v>0</v>
          </cell>
        </row>
        <row r="696">
          <cell r="G696">
            <v>0</v>
          </cell>
        </row>
        <row r="699">
          <cell r="G699">
            <v>0</v>
          </cell>
        </row>
        <row r="701">
          <cell r="G701">
            <v>0</v>
          </cell>
        </row>
        <row r="702">
          <cell r="G702">
            <v>0</v>
          </cell>
        </row>
        <row r="703">
          <cell r="G703">
            <v>0</v>
          </cell>
        </row>
        <row r="708">
          <cell r="G708">
            <v>0</v>
          </cell>
        </row>
        <row r="711">
          <cell r="G711">
            <v>0</v>
          </cell>
        </row>
        <row r="713">
          <cell r="G713">
            <v>0</v>
          </cell>
        </row>
        <row r="714">
          <cell r="G714">
            <v>0</v>
          </cell>
        </row>
        <row r="715">
          <cell r="G715">
            <v>0</v>
          </cell>
        </row>
        <row r="720">
          <cell r="G720">
            <v>0</v>
          </cell>
        </row>
        <row r="723">
          <cell r="G723">
            <v>0</v>
          </cell>
        </row>
        <row r="725">
          <cell r="G725">
            <v>0</v>
          </cell>
        </row>
        <row r="726">
          <cell r="G726">
            <v>0</v>
          </cell>
        </row>
        <row r="727">
          <cell r="G727">
            <v>0</v>
          </cell>
        </row>
        <row r="732">
          <cell r="G732">
            <v>0</v>
          </cell>
        </row>
        <row r="737">
          <cell r="G737" t="str">
            <v>1675 Broadway</v>
          </cell>
        </row>
        <row r="738">
          <cell r="G738" t="str">
            <v>Denver, CO 80202</v>
          </cell>
        </row>
        <row r="739">
          <cell r="G739" t="str">
            <v>Eileen Tran</v>
          </cell>
        </row>
        <row r="740">
          <cell r="G740" t="str">
            <v>720.904.4091</v>
          </cell>
        </row>
        <row r="741">
          <cell r="G741" t="str">
            <v>Tax exempt bonds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763">
          <cell r="G763" t="str">
            <v>411 2nd Street</v>
          </cell>
        </row>
        <row r="764">
          <cell r="G764" t="str">
            <v>Oakland</v>
          </cell>
        </row>
        <row r="765">
          <cell r="G765" t="str">
            <v>Jeremy Harris</v>
          </cell>
        </row>
        <row r="766">
          <cell r="G766">
            <v>8584495270</v>
          </cell>
        </row>
        <row r="767">
          <cell r="G767" t="str">
            <v>GP Loan  Note</v>
          </cell>
        </row>
        <row r="768">
          <cell r="G768" t="str">
            <v>Yes</v>
          </cell>
        </row>
        <row r="771">
          <cell r="D771" t="str">
            <v>411 2nd Street</v>
          </cell>
        </row>
        <row r="772">
          <cell r="D772" t="str">
            <v>Oakland</v>
          </cell>
        </row>
        <row r="773">
          <cell r="D773" t="str">
            <v>Jeremy Harris</v>
          </cell>
        </row>
        <row r="774">
          <cell r="D774">
            <v>8584495270</v>
          </cell>
        </row>
        <row r="775">
          <cell r="D775" t="str">
            <v>Leasehold</v>
          </cell>
        </row>
        <row r="776">
          <cell r="D776" t="str">
            <v>Yes</v>
          </cell>
        </row>
        <row r="834">
          <cell r="G834" t="str">
            <v>No</v>
          </cell>
        </row>
        <row r="835">
          <cell r="G835" t="str">
            <v>No</v>
          </cell>
        </row>
        <row r="836">
          <cell r="G836">
            <v>46160</v>
          </cell>
        </row>
        <row r="837">
          <cell r="G837">
            <v>45980</v>
          </cell>
        </row>
        <row r="838">
          <cell r="G838">
            <v>46160</v>
          </cell>
        </row>
        <row r="839">
          <cell r="G839">
            <v>0.27500000000000002</v>
          </cell>
        </row>
        <row r="847">
          <cell r="G847" t="str">
            <v>SRO/Studio</v>
          </cell>
        </row>
        <row r="848">
          <cell r="G848">
            <v>35</v>
          </cell>
        </row>
        <row r="849">
          <cell r="G849">
            <v>331</v>
          </cell>
        </row>
        <row r="850">
          <cell r="G850">
            <v>712</v>
          </cell>
        </row>
        <row r="851">
          <cell r="D851">
            <v>83</v>
          </cell>
        </row>
        <row r="852">
          <cell r="D852">
            <v>0.3</v>
          </cell>
        </row>
        <row r="856">
          <cell r="G856" t="str">
            <v>SRO/Studio</v>
          </cell>
        </row>
        <row r="857">
          <cell r="G857">
            <v>0</v>
          </cell>
        </row>
        <row r="858">
          <cell r="G858">
            <v>0</v>
          </cell>
        </row>
        <row r="859">
          <cell r="G859">
            <v>0</v>
          </cell>
        </row>
        <row r="860">
          <cell r="D860">
            <v>83</v>
          </cell>
        </row>
        <row r="861">
          <cell r="D861">
            <v>0.4</v>
          </cell>
        </row>
        <row r="865">
          <cell r="G865" t="str">
            <v>SRO/Studio</v>
          </cell>
        </row>
        <row r="866">
          <cell r="G866">
            <v>33</v>
          </cell>
        </row>
        <row r="867">
          <cell r="G867">
            <v>350</v>
          </cell>
        </row>
        <row r="868">
          <cell r="G868">
            <v>1241</v>
          </cell>
        </row>
        <row r="869">
          <cell r="D869">
            <v>83</v>
          </cell>
        </row>
        <row r="870">
          <cell r="D870">
            <v>0.5</v>
          </cell>
        </row>
        <row r="874">
          <cell r="G874" t="str">
            <v>SRO/Studio</v>
          </cell>
        </row>
        <row r="875">
          <cell r="G875">
            <v>0</v>
          </cell>
        </row>
        <row r="876">
          <cell r="G876">
            <v>0</v>
          </cell>
        </row>
        <row r="877">
          <cell r="G877">
            <v>0</v>
          </cell>
        </row>
        <row r="878">
          <cell r="D878">
            <v>83</v>
          </cell>
        </row>
        <row r="879">
          <cell r="D879">
            <v>0.6</v>
          </cell>
        </row>
        <row r="883">
          <cell r="G883" t="str">
            <v>SRO/Studio</v>
          </cell>
        </row>
        <row r="884">
          <cell r="G884">
            <v>0</v>
          </cell>
        </row>
        <row r="885">
          <cell r="G885">
            <v>0</v>
          </cell>
        </row>
        <row r="886">
          <cell r="G886">
            <v>0</v>
          </cell>
        </row>
        <row r="887">
          <cell r="D887">
            <v>83</v>
          </cell>
        </row>
        <row r="888">
          <cell r="D888">
            <v>0.7</v>
          </cell>
        </row>
        <row r="892">
          <cell r="G892" t="str">
            <v>SRO/Studio</v>
          </cell>
        </row>
        <row r="893">
          <cell r="G893">
            <v>0</v>
          </cell>
        </row>
        <row r="894">
          <cell r="G894">
            <v>0</v>
          </cell>
        </row>
        <row r="895">
          <cell r="G895">
            <v>0</v>
          </cell>
        </row>
        <row r="896">
          <cell r="D896">
            <v>83</v>
          </cell>
        </row>
        <row r="897">
          <cell r="D897">
            <v>0.8</v>
          </cell>
        </row>
        <row r="901">
          <cell r="G901" t="str">
            <v>1 Bedroom</v>
          </cell>
        </row>
        <row r="902">
          <cell r="G902">
            <v>0</v>
          </cell>
        </row>
        <row r="903">
          <cell r="G903">
            <v>0</v>
          </cell>
        </row>
        <row r="904">
          <cell r="G904">
            <v>0</v>
          </cell>
        </row>
        <row r="905">
          <cell r="D905">
            <v>101</v>
          </cell>
        </row>
        <row r="906">
          <cell r="D906">
            <v>0.3</v>
          </cell>
        </row>
        <row r="910">
          <cell r="G910" t="str">
            <v>1 Bedroom</v>
          </cell>
        </row>
        <row r="911">
          <cell r="G911">
            <v>0</v>
          </cell>
        </row>
        <row r="912">
          <cell r="G912">
            <v>0</v>
          </cell>
        </row>
        <row r="913">
          <cell r="G913">
            <v>0</v>
          </cell>
        </row>
        <row r="914">
          <cell r="D914">
            <v>101</v>
          </cell>
        </row>
        <row r="915">
          <cell r="D915">
            <v>0.4</v>
          </cell>
        </row>
        <row r="919">
          <cell r="G919" t="str">
            <v>1 Bedroom</v>
          </cell>
        </row>
        <row r="920">
          <cell r="G920">
            <v>2</v>
          </cell>
        </row>
        <row r="921">
          <cell r="G921">
            <v>515</v>
          </cell>
        </row>
        <row r="922">
          <cell r="G922">
            <v>1318</v>
          </cell>
        </row>
        <row r="923">
          <cell r="D923">
            <v>101</v>
          </cell>
        </row>
        <row r="924">
          <cell r="D924">
            <v>0.5</v>
          </cell>
        </row>
        <row r="928">
          <cell r="G928" t="str">
            <v>1 Bedroom</v>
          </cell>
        </row>
        <row r="929">
          <cell r="G929">
            <v>162</v>
          </cell>
        </row>
        <row r="930">
          <cell r="G930">
            <v>515</v>
          </cell>
        </row>
        <row r="931">
          <cell r="G931">
            <v>1602</v>
          </cell>
        </row>
        <row r="932">
          <cell r="D932">
            <v>101</v>
          </cell>
        </row>
        <row r="933">
          <cell r="D933">
            <v>0.6</v>
          </cell>
        </row>
        <row r="937">
          <cell r="G937" t="str">
            <v>1 Bedroom</v>
          </cell>
        </row>
        <row r="938">
          <cell r="G938">
            <v>60</v>
          </cell>
        </row>
        <row r="939">
          <cell r="G939">
            <v>568</v>
          </cell>
        </row>
        <row r="940">
          <cell r="G940">
            <v>1885</v>
          </cell>
        </row>
        <row r="941">
          <cell r="D941">
            <v>101</v>
          </cell>
        </row>
        <row r="942">
          <cell r="D942">
            <v>0.7</v>
          </cell>
        </row>
        <row r="946">
          <cell r="G946" t="str">
            <v>1 Bedroom</v>
          </cell>
        </row>
        <row r="947">
          <cell r="G947">
            <v>0</v>
          </cell>
        </row>
        <row r="948">
          <cell r="G948">
            <v>0</v>
          </cell>
        </row>
        <row r="949">
          <cell r="G949">
            <v>0</v>
          </cell>
        </row>
        <row r="950">
          <cell r="D950">
            <v>101</v>
          </cell>
        </row>
        <row r="951">
          <cell r="D951">
            <v>0.8</v>
          </cell>
        </row>
        <row r="955">
          <cell r="G955" t="str">
            <v>2 Bedrooms</v>
          </cell>
        </row>
        <row r="956">
          <cell r="G956">
            <v>0</v>
          </cell>
        </row>
        <row r="958">
          <cell r="G958">
            <v>0</v>
          </cell>
        </row>
        <row r="959">
          <cell r="D959">
            <v>139</v>
          </cell>
        </row>
        <row r="960">
          <cell r="D960">
            <v>0.3</v>
          </cell>
        </row>
        <row r="964">
          <cell r="G964" t="str">
            <v>2 Bedrooms</v>
          </cell>
        </row>
        <row r="965">
          <cell r="G965">
            <v>0</v>
          </cell>
        </row>
        <row r="966">
          <cell r="G966">
            <v>0</v>
          </cell>
        </row>
        <row r="967">
          <cell r="G967">
            <v>0</v>
          </cell>
        </row>
        <row r="968">
          <cell r="D968">
            <v>139</v>
          </cell>
        </row>
        <row r="969">
          <cell r="D969">
            <v>0.4</v>
          </cell>
        </row>
        <row r="973">
          <cell r="G973" t="str">
            <v>2 Bedrooms</v>
          </cell>
        </row>
        <row r="974">
          <cell r="G974">
            <v>0</v>
          </cell>
        </row>
        <row r="975">
          <cell r="G975">
            <v>0</v>
          </cell>
        </row>
        <row r="976">
          <cell r="G976">
            <v>0</v>
          </cell>
        </row>
        <row r="977">
          <cell r="D977">
            <v>139</v>
          </cell>
        </row>
        <row r="978">
          <cell r="D978">
            <v>0.5</v>
          </cell>
        </row>
        <row r="982">
          <cell r="G982" t="str">
            <v>2 Bedrooms</v>
          </cell>
        </row>
        <row r="983">
          <cell r="G983">
            <v>6</v>
          </cell>
        </row>
        <row r="984">
          <cell r="G984">
            <v>700</v>
          </cell>
        </row>
        <row r="985">
          <cell r="G985">
            <v>1904</v>
          </cell>
        </row>
        <row r="986">
          <cell r="D986">
            <v>139</v>
          </cell>
        </row>
        <row r="987">
          <cell r="D987">
            <v>0.6</v>
          </cell>
        </row>
        <row r="991">
          <cell r="G991" t="str">
            <v>2 Bedrooms</v>
          </cell>
        </row>
        <row r="992">
          <cell r="G992">
            <v>44</v>
          </cell>
        </row>
        <row r="993">
          <cell r="G993">
            <v>900</v>
          </cell>
        </row>
        <row r="994">
          <cell r="G994">
            <v>2245</v>
          </cell>
        </row>
        <row r="995">
          <cell r="D995">
            <v>139</v>
          </cell>
        </row>
        <row r="996">
          <cell r="D996">
            <v>0.7</v>
          </cell>
        </row>
        <row r="1000">
          <cell r="G1000" t="str">
            <v>2 Bedrooms</v>
          </cell>
        </row>
        <row r="1001">
          <cell r="G1001">
            <v>0</v>
          </cell>
        </row>
        <row r="1002">
          <cell r="G1002">
            <v>0</v>
          </cell>
        </row>
        <row r="1003">
          <cell r="G1003">
            <v>0</v>
          </cell>
        </row>
        <row r="1004">
          <cell r="D1004">
            <v>139</v>
          </cell>
        </row>
        <row r="1005">
          <cell r="D1005">
            <v>0.8</v>
          </cell>
        </row>
        <row r="1013">
          <cell r="D1013" t="str">
            <v>2 Bedroom</v>
          </cell>
        </row>
        <row r="1014">
          <cell r="D1014">
            <v>1</v>
          </cell>
        </row>
        <row r="1015">
          <cell r="D1015">
            <v>876</v>
          </cell>
        </row>
        <row r="1016">
          <cell r="D1016">
            <v>1702.2719999999999</v>
          </cell>
        </row>
        <row r="1018">
          <cell r="D1018" t="str">
            <v>2 Bedroom</v>
          </cell>
        </row>
        <row r="1019">
          <cell r="D1019">
            <v>1</v>
          </cell>
        </row>
        <row r="1020">
          <cell r="D1020">
            <v>876</v>
          </cell>
        </row>
        <row r="1021">
          <cell r="D1021">
            <v>1702.2719999999999</v>
          </cell>
        </row>
        <row r="1023">
          <cell r="D1023" t="str">
            <v>2 Bedroom</v>
          </cell>
        </row>
        <row r="1024">
          <cell r="D1024">
            <v>1</v>
          </cell>
        </row>
        <row r="1025">
          <cell r="D1025">
            <v>876</v>
          </cell>
        </row>
        <row r="1026">
          <cell r="D1026">
            <v>1702.2719999999999</v>
          </cell>
        </row>
        <row r="1028">
          <cell r="D1028" t="str">
            <v>2 Bedroom</v>
          </cell>
        </row>
        <row r="1029">
          <cell r="D1029">
            <v>1</v>
          </cell>
        </row>
        <row r="1030">
          <cell r="D1030">
            <v>876</v>
          </cell>
        </row>
        <row r="1031">
          <cell r="D1031">
            <v>0</v>
          </cell>
        </row>
        <row r="1054">
          <cell r="D1054">
            <v>41520</v>
          </cell>
        </row>
        <row r="1055">
          <cell r="D1055">
            <v>0</v>
          </cell>
        </row>
        <row r="1056">
          <cell r="D1056">
            <v>0</v>
          </cell>
        </row>
        <row r="1057">
          <cell r="D1057">
            <v>198483.15789473685</v>
          </cell>
        </row>
        <row r="1058">
          <cell r="D1058" t="str">
            <v>Parking-Motorcycle parking-Storage-Master Service - Internet</v>
          </cell>
        </row>
        <row r="1063">
          <cell r="D1063">
            <v>18</v>
          </cell>
        </row>
        <row r="1064">
          <cell r="D1064">
            <v>25</v>
          </cell>
        </row>
        <row r="1065">
          <cell r="D1065">
            <v>11</v>
          </cell>
        </row>
        <row r="1066">
          <cell r="D1066">
            <v>29</v>
          </cell>
        </row>
        <row r="1072">
          <cell r="D1072">
            <v>21</v>
          </cell>
        </row>
        <row r="1073">
          <cell r="D1073">
            <v>30</v>
          </cell>
        </row>
        <row r="1074">
          <cell r="D1074">
            <v>13</v>
          </cell>
        </row>
        <row r="1075">
          <cell r="D1075">
            <v>37</v>
          </cell>
        </row>
        <row r="1081">
          <cell r="D1081">
            <v>26</v>
          </cell>
        </row>
        <row r="1082">
          <cell r="D1082">
            <v>38</v>
          </cell>
        </row>
        <row r="1083">
          <cell r="D1083">
            <v>19</v>
          </cell>
        </row>
        <row r="1084">
          <cell r="D1084">
            <v>56</v>
          </cell>
        </row>
        <row r="1090">
          <cell r="D1090">
            <v>0</v>
          </cell>
        </row>
        <row r="1091">
          <cell r="D1091">
            <v>0</v>
          </cell>
        </row>
        <row r="1092">
          <cell r="D1092">
            <v>0</v>
          </cell>
        </row>
        <row r="1093">
          <cell r="D1093">
            <v>0</v>
          </cell>
        </row>
        <row r="1099">
          <cell r="D1099">
            <v>0</v>
          </cell>
        </row>
        <row r="1100">
          <cell r="D1100">
            <v>0</v>
          </cell>
        </row>
        <row r="1101">
          <cell r="D1101">
            <v>0</v>
          </cell>
        </row>
        <row r="1102">
          <cell r="D1102">
            <v>0</v>
          </cell>
        </row>
        <row r="1107">
          <cell r="D1107" t="str">
            <v>Housing Authority of Long Beach</v>
          </cell>
        </row>
        <row r="1109">
          <cell r="G1109">
            <v>6000</v>
          </cell>
        </row>
        <row r="1110">
          <cell r="G1110">
            <v>5000</v>
          </cell>
        </row>
        <row r="1111">
          <cell r="G1111">
            <v>20000</v>
          </cell>
        </row>
        <row r="1112">
          <cell r="G1112">
            <v>88800</v>
          </cell>
        </row>
        <row r="1113">
          <cell r="B1113" t="str">
            <v>Other: Misc. Admin (Phone, Cable, Credit and Bank Checks)</v>
          </cell>
          <cell r="G1113">
            <v>10000</v>
          </cell>
        </row>
        <row r="1115">
          <cell r="G1115">
            <v>262851</v>
          </cell>
        </row>
        <row r="1117">
          <cell r="G1117">
            <v>4152</v>
          </cell>
        </row>
        <row r="1118">
          <cell r="G1118">
            <v>0</v>
          </cell>
        </row>
        <row r="1119">
          <cell r="G1119">
            <v>103800</v>
          </cell>
        </row>
        <row r="1120">
          <cell r="G1120">
            <v>207600</v>
          </cell>
        </row>
        <row r="1121">
          <cell r="G1121">
            <v>166080</v>
          </cell>
        </row>
        <row r="1123">
          <cell r="G1123">
            <v>259000</v>
          </cell>
        </row>
        <row r="1124">
          <cell r="G1124">
            <v>3</v>
          </cell>
        </row>
        <row r="1125">
          <cell r="G1125">
            <v>135000</v>
          </cell>
        </row>
        <row r="1126">
          <cell r="G1126">
            <v>1</v>
          </cell>
        </row>
        <row r="1127">
          <cell r="B1127" t="str">
            <v>Leasing specialist and commisions-Payroll Taxes/Benefit</v>
          </cell>
        </row>
        <row r="1128">
          <cell r="G1128">
            <v>70000</v>
          </cell>
        </row>
        <row r="1129">
          <cell r="G1129">
            <v>311400</v>
          </cell>
        </row>
        <row r="1131">
          <cell r="G1131">
            <v>16000</v>
          </cell>
        </row>
        <row r="1132">
          <cell r="G1132">
            <v>145320</v>
          </cell>
        </row>
        <row r="1133">
          <cell r="G1133">
            <v>20760</v>
          </cell>
        </row>
        <row r="1134">
          <cell r="G1134">
            <v>5000</v>
          </cell>
        </row>
        <row r="1135">
          <cell r="G1135">
            <v>21000</v>
          </cell>
        </row>
        <row r="1136">
          <cell r="G1136">
            <v>12000</v>
          </cell>
        </row>
        <row r="1137">
          <cell r="B1137" t="str">
            <v>Contracts-Cleaning-Supplies, Fire Protection, Uniforms, Janitorial Services</v>
          </cell>
          <cell r="G1137">
            <v>72280</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83040</v>
          </cell>
        </row>
        <row r="1147">
          <cell r="G1147" t="str">
            <v>Other</v>
          </cell>
        </row>
        <row r="1148">
          <cell r="G1148">
            <v>0</v>
          </cell>
        </row>
        <row r="1150">
          <cell r="G1150">
            <v>1463678</v>
          </cell>
        </row>
        <row r="1151">
          <cell r="G1151">
            <v>0</v>
          </cell>
        </row>
        <row r="1152">
          <cell r="G1152">
            <v>34200</v>
          </cell>
        </row>
        <row r="1153">
          <cell r="G1153">
            <v>86500</v>
          </cell>
        </row>
        <row r="1154">
          <cell r="G1154">
            <v>15581.52</v>
          </cell>
        </row>
        <row r="1155">
          <cell r="G1155">
            <v>7674.4800000000005</v>
          </cell>
        </row>
        <row r="1156">
          <cell r="G1156">
            <v>0</v>
          </cell>
        </row>
        <row r="1157">
          <cell r="B1157" t="str">
            <v>Other (Specify)</v>
          </cell>
          <cell r="G1157">
            <v>0</v>
          </cell>
        </row>
        <row r="1158">
          <cell r="B1158" t="str">
            <v>Other (Specify)</v>
          </cell>
          <cell r="G1158">
            <v>0</v>
          </cell>
        </row>
        <row r="1162">
          <cell r="G1162">
            <v>29391578</v>
          </cell>
        </row>
        <row r="1225">
          <cell r="B1225" t="str">
            <v>LIHTC Credits</v>
          </cell>
          <cell r="G1225">
            <v>44494943</v>
          </cell>
        </row>
        <row r="1226">
          <cell r="B1226" t="str">
            <v>Recycled Bonds</v>
          </cell>
          <cell r="G1226">
            <v>10108828</v>
          </cell>
        </row>
        <row r="1254">
          <cell r="G1254">
            <v>2220000</v>
          </cell>
        </row>
        <row r="1255">
          <cell r="G1255">
            <v>0</v>
          </cell>
        </row>
        <row r="1256">
          <cell r="G1256">
            <v>53325</v>
          </cell>
        </row>
        <row r="1257">
          <cell r="G1257">
            <v>0</v>
          </cell>
        </row>
        <row r="1258">
          <cell r="G1258">
            <v>150000</v>
          </cell>
        </row>
        <row r="1259">
          <cell r="G1259">
            <v>0</v>
          </cell>
        </row>
        <row r="1260">
          <cell r="G1260">
            <v>158400</v>
          </cell>
        </row>
        <row r="1261">
          <cell r="G1261">
            <v>0</v>
          </cell>
        </row>
        <row r="1262">
          <cell r="G1262">
            <v>0</v>
          </cell>
        </row>
        <row r="1264">
          <cell r="G1264">
            <v>136641</v>
          </cell>
        </row>
        <row r="1265">
          <cell r="G1265">
            <v>61718083</v>
          </cell>
        </row>
        <row r="1266">
          <cell r="G1266">
            <v>2084991</v>
          </cell>
        </row>
        <row r="1267">
          <cell r="G1267">
            <v>2779988</v>
          </cell>
        </row>
        <row r="1268">
          <cell r="G1268">
            <v>2779988</v>
          </cell>
        </row>
        <row r="1269">
          <cell r="G1269">
            <v>0</v>
          </cell>
        </row>
        <row r="1270">
          <cell r="G1270">
            <v>0</v>
          </cell>
        </row>
        <row r="1271">
          <cell r="G1271">
            <v>494000</v>
          </cell>
        </row>
        <row r="1272">
          <cell r="B1272" t="str">
            <v>Contractor Contigency</v>
          </cell>
          <cell r="G1272">
            <v>2430739</v>
          </cell>
        </row>
        <row r="1274">
          <cell r="G1274">
            <v>450000</v>
          </cell>
        </row>
        <row r="1275">
          <cell r="G1275">
            <v>300000</v>
          </cell>
        </row>
        <row r="1276">
          <cell r="G1276">
            <v>1000000</v>
          </cell>
        </row>
        <row r="1278">
          <cell r="G1278">
            <v>6556864</v>
          </cell>
        </row>
        <row r="1279">
          <cell r="G1279">
            <v>3931899.8474900457</v>
          </cell>
        </row>
        <row r="1282">
          <cell r="G1282">
            <v>748060</v>
          </cell>
        </row>
        <row r="1283">
          <cell r="G1283">
            <v>7500</v>
          </cell>
        </row>
        <row r="1284">
          <cell r="G1284">
            <v>1078956</v>
          </cell>
        </row>
        <row r="1285">
          <cell r="G1285">
            <v>57250</v>
          </cell>
        </row>
        <row r="1286">
          <cell r="G1286">
            <v>25000</v>
          </cell>
        </row>
        <row r="1287">
          <cell r="G1287">
            <v>344321</v>
          </cell>
        </row>
        <row r="1288">
          <cell r="G1288">
            <v>851309</v>
          </cell>
        </row>
        <row r="1289">
          <cell r="B1289" t="str">
            <v>Lender Inspections</v>
          </cell>
          <cell r="G1289">
            <v>30000</v>
          </cell>
        </row>
        <row r="1291">
          <cell r="G1291">
            <v>578164</v>
          </cell>
        </row>
        <row r="1292">
          <cell r="G1292">
            <v>0</v>
          </cell>
        </row>
        <row r="1293">
          <cell r="G1293">
            <v>25000</v>
          </cell>
        </row>
        <row r="1294">
          <cell r="G1294">
            <v>0</v>
          </cell>
        </row>
        <row r="1295">
          <cell r="G1295">
            <v>0</v>
          </cell>
        </row>
        <row r="1296">
          <cell r="B1296" t="str">
            <v>Other: Misc due dilligence and applicant legal and Misc</v>
          </cell>
          <cell r="G1296">
            <v>90000</v>
          </cell>
        </row>
        <row r="1298">
          <cell r="G1298">
            <v>125000</v>
          </cell>
        </row>
        <row r="1299">
          <cell r="G1299">
            <v>75000</v>
          </cell>
        </row>
        <row r="1300">
          <cell r="G1300">
            <v>15000</v>
          </cell>
        </row>
        <row r="1301">
          <cell r="G1301">
            <v>240000</v>
          </cell>
        </row>
        <row r="1302">
          <cell r="G1302">
            <v>0</v>
          </cell>
        </row>
        <row r="1303">
          <cell r="B1303" t="str">
            <v>Applicant construction legal and due dilligence</v>
          </cell>
          <cell r="G1303">
            <v>165000</v>
          </cell>
        </row>
        <row r="1305">
          <cell r="G1305">
            <v>0</v>
          </cell>
        </row>
        <row r="1306">
          <cell r="G1306">
            <v>0</v>
          </cell>
        </row>
        <row r="1307">
          <cell r="G1307">
            <v>0</v>
          </cell>
        </row>
        <row r="1308">
          <cell r="G1308">
            <v>1463678</v>
          </cell>
        </row>
        <row r="1309">
          <cell r="B1309" t="str">
            <v>Other: (Specify)</v>
          </cell>
          <cell r="G1309">
            <v>0</v>
          </cell>
        </row>
        <row r="1311">
          <cell r="G1311">
            <v>3693035</v>
          </cell>
        </row>
        <row r="1312">
          <cell r="G1312">
            <v>313842</v>
          </cell>
        </row>
        <row r="1314">
          <cell r="G1314">
            <v>239400</v>
          </cell>
        </row>
        <row r="1315">
          <cell r="G1315">
            <v>25000</v>
          </cell>
        </row>
        <row r="1316">
          <cell r="G1316">
            <v>692000</v>
          </cell>
        </row>
        <row r="1317">
          <cell r="G1317">
            <v>2422000</v>
          </cell>
        </row>
        <row r="1318">
          <cell r="G1318">
            <v>2076000</v>
          </cell>
        </row>
        <row r="1319">
          <cell r="G1319">
            <v>467100</v>
          </cell>
        </row>
        <row r="1320">
          <cell r="G1320">
            <v>0</v>
          </cell>
        </row>
        <row r="1321">
          <cell r="G1321">
            <v>10000</v>
          </cell>
        </row>
        <row r="1322">
          <cell r="G1322">
            <v>65000</v>
          </cell>
        </row>
        <row r="1323">
          <cell r="G1323">
            <v>10000</v>
          </cell>
        </row>
        <row r="1324">
          <cell r="G1324">
            <v>0</v>
          </cell>
        </row>
        <row r="1325">
          <cell r="G1325">
            <v>0</v>
          </cell>
        </row>
        <row r="1326">
          <cell r="G1326">
            <v>0</v>
          </cell>
        </row>
        <row r="1328">
          <cell r="G1328">
            <v>13651104</v>
          </cell>
        </row>
        <row r="1329">
          <cell r="G1329">
            <v>0</v>
          </cell>
        </row>
        <row r="1330">
          <cell r="G1330">
            <v>0</v>
          </cell>
        </row>
        <row r="1331">
          <cell r="G1331">
            <v>0</v>
          </cell>
        </row>
        <row r="1332">
          <cell r="G1332">
            <v>0</v>
          </cell>
        </row>
        <row r="1333">
          <cell r="G1333">
            <v>0</v>
          </cell>
        </row>
        <row r="1334">
          <cell r="D1334">
            <v>136</v>
          </cell>
        </row>
        <row r="1347">
          <cell r="D1347">
            <v>0</v>
          </cell>
        </row>
        <row r="1413">
          <cell r="G1413" t="str">
            <v>City of Long Beach</v>
          </cell>
        </row>
        <row r="1414">
          <cell r="G1414" t="str">
            <v>Mr. Patrick Ure</v>
          </cell>
        </row>
        <row r="1415">
          <cell r="G1415" t="str">
            <v>housing Operations Officer</v>
          </cell>
        </row>
        <row r="1416">
          <cell r="G1416" t="str">
            <v>333 W. Ocean Blvd., Third Floor</v>
          </cell>
        </row>
        <row r="1417">
          <cell r="G1417" t="str">
            <v>Long Beach</v>
          </cell>
        </row>
        <row r="1418">
          <cell r="G1418">
            <v>90802</v>
          </cell>
        </row>
        <row r="1419">
          <cell r="G1419" t="str">
            <v>(562) 570-6026</v>
          </cell>
        </row>
        <row r="1420">
          <cell r="G1420" t="str">
            <v>(562) 570-6215</v>
          </cell>
        </row>
        <row r="1421">
          <cell r="G1421" t="str">
            <v>patrick.ure@longbeach.gov</v>
          </cell>
        </row>
        <row r="1422">
          <cell r="G1422">
            <v>0</v>
          </cell>
        </row>
        <row r="1425">
          <cell r="D1425" t="str">
            <v>3 Bedrooms</v>
          </cell>
        </row>
        <row r="1426">
          <cell r="D1426">
            <v>0</v>
          </cell>
        </row>
        <row r="1427">
          <cell r="D1427">
            <v>0</v>
          </cell>
        </row>
        <row r="1428">
          <cell r="D1428">
            <v>0</v>
          </cell>
        </row>
        <row r="1429">
          <cell r="D1429">
            <v>0</v>
          </cell>
        </row>
        <row r="1430">
          <cell r="D1430">
            <v>0.3</v>
          </cell>
        </row>
        <row r="1434">
          <cell r="D1434" t="str">
            <v>3 Bedrooms</v>
          </cell>
        </row>
        <row r="1435">
          <cell r="D1435">
            <v>0</v>
          </cell>
        </row>
        <row r="1436">
          <cell r="D1436">
            <v>0</v>
          </cell>
        </row>
        <row r="1437">
          <cell r="D1437">
            <v>0</v>
          </cell>
        </row>
        <row r="1438">
          <cell r="D1438">
            <v>0</v>
          </cell>
        </row>
        <row r="1439">
          <cell r="D1439">
            <v>0.4</v>
          </cell>
        </row>
        <row r="1443">
          <cell r="D1443" t="str">
            <v>3 Bedrooms</v>
          </cell>
        </row>
        <row r="1444">
          <cell r="D1444">
            <v>0</v>
          </cell>
        </row>
        <row r="1445">
          <cell r="D1445">
            <v>0</v>
          </cell>
        </row>
        <row r="1446">
          <cell r="D1446">
            <v>0</v>
          </cell>
        </row>
        <row r="1447">
          <cell r="D1447">
            <v>0</v>
          </cell>
        </row>
        <row r="1448">
          <cell r="D1448">
            <v>0.5</v>
          </cell>
        </row>
        <row r="1452">
          <cell r="D1452" t="str">
            <v>3 Bedrooms</v>
          </cell>
        </row>
        <row r="1453">
          <cell r="D1453">
            <v>0</v>
          </cell>
        </row>
        <row r="1454">
          <cell r="D1454">
            <v>0</v>
          </cell>
        </row>
        <row r="1455">
          <cell r="D1455">
            <v>0</v>
          </cell>
        </row>
        <row r="1456">
          <cell r="D1456">
            <v>0</v>
          </cell>
        </row>
        <row r="1457">
          <cell r="D1457">
            <v>0.6</v>
          </cell>
        </row>
        <row r="1461">
          <cell r="D1461" t="str">
            <v>3 Bedrooms</v>
          </cell>
        </row>
        <row r="1462">
          <cell r="D1462">
            <v>0</v>
          </cell>
        </row>
        <row r="1463">
          <cell r="D1463">
            <v>0</v>
          </cell>
        </row>
        <row r="1464">
          <cell r="D1464">
            <v>0</v>
          </cell>
        </row>
        <row r="1465">
          <cell r="D1465">
            <v>0</v>
          </cell>
        </row>
        <row r="1466">
          <cell r="D1466">
            <v>0.7</v>
          </cell>
        </row>
        <row r="1470">
          <cell r="D1470" t="str">
            <v>3 Bedrooms</v>
          </cell>
        </row>
        <row r="1471">
          <cell r="D1471">
            <v>0</v>
          </cell>
        </row>
        <row r="1472">
          <cell r="D1472">
            <v>0</v>
          </cell>
        </row>
        <row r="1473">
          <cell r="D1473">
            <v>0</v>
          </cell>
        </row>
        <row r="1474">
          <cell r="D1474">
            <v>0</v>
          </cell>
        </row>
        <row r="1475">
          <cell r="D1475">
            <v>0.8</v>
          </cell>
        </row>
      </sheetData>
      <sheetData sheetId="8" refreshError="1"/>
      <sheetData sheetId="9" refreshError="1"/>
      <sheetData sheetId="10">
        <row r="9">
          <cell r="E9" t="str">
            <v>636 N Locust Avenue, Long Beach, CA 90802</v>
          </cell>
        </row>
        <row r="11">
          <cell r="H11" t="str">
            <v>Moderate Resource</v>
          </cell>
        </row>
        <row r="30">
          <cell r="N30">
            <v>2.46</v>
          </cell>
        </row>
        <row r="32">
          <cell r="N32">
            <v>10.54</v>
          </cell>
        </row>
      </sheetData>
      <sheetData sheetId="11" refreshError="1"/>
      <sheetData sheetId="12">
        <row r="4">
          <cell r="F4" t="str">
            <v>Studio</v>
          </cell>
        </row>
      </sheetData>
      <sheetData sheetId="13" refreshError="1"/>
      <sheetData sheetId="14" refreshError="1"/>
      <sheetData sheetId="15">
        <row r="2">
          <cell r="F2" t="str">
            <v>636 N Locust Avenue, Long Beach, CA 90802</v>
          </cell>
        </row>
      </sheetData>
      <sheetData sheetId="16" refreshError="1"/>
      <sheetData sheetId="17">
        <row r="21">
          <cell r="E21">
            <v>13651104.237820067</v>
          </cell>
        </row>
      </sheetData>
      <sheetData sheetId="18" refreshError="1"/>
      <sheetData sheetId="19">
        <row r="39">
          <cell r="E39">
            <v>17300</v>
          </cell>
        </row>
      </sheetData>
      <sheetData sheetId="20" refreshError="1"/>
      <sheetData sheetId="21">
        <row r="109">
          <cell r="H109">
            <v>3290818.7843815489</v>
          </cell>
        </row>
      </sheetData>
      <sheetData sheetId="22">
        <row r="27">
          <cell r="E27">
            <v>29391578.10140397</v>
          </cell>
        </row>
      </sheetData>
      <sheetData sheetId="23">
        <row r="91">
          <cell r="E91">
            <v>3290818.7843815489</v>
          </cell>
        </row>
      </sheetData>
      <sheetData sheetId="24" refreshError="1"/>
      <sheetData sheetId="25" refreshError="1"/>
      <sheetData sheetId="26" refreshError="1"/>
      <sheetData sheetId="27">
        <row r="37">
          <cell r="G37">
            <v>13651104.237820065</v>
          </cell>
        </row>
      </sheetData>
      <sheetData sheetId="28" refreshError="1"/>
      <sheetData sheetId="29" refreshError="1"/>
      <sheetData sheetId="30" refreshError="1"/>
      <sheetData sheetId="31">
        <row r="4">
          <cell r="I4">
            <v>1</v>
          </cell>
        </row>
      </sheetData>
      <sheetData sheetId="32">
        <row r="7">
          <cell r="A7" t="str">
            <v>Alameda</v>
          </cell>
        </row>
      </sheetData>
      <sheetData sheetId="3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Q163" sqref="Q16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2600</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2599</v>
      </c>
      <c r="E18" s="441"/>
      <c r="G18" s="441"/>
      <c r="H18" s="441"/>
      <c r="I18" s="441"/>
      <c r="J18" s="1273" t="s">
        <v>2598</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2034</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2035</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2514</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2138</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2042</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2043</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652</v>
      </c>
      <c r="F40" s="1260" t="s">
        <v>1162</v>
      </c>
    </row>
    <row r="41" spans="1:38" s="1260"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1244</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0" t="s">
        <v>2037</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1164</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508</v>
      </c>
      <c r="G67" s="1260" t="s">
        <v>1165</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1166</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1167</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1168</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1169</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3" t="s">
        <v>1170</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1171</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1172</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1173</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1174</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1153</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1235</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1234</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1224</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1256</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1267</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I27" sqref="I2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3" t="s">
        <v>1583</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E18</f>
        <v>79898068</v>
      </c>
      <c r="I3" s="1105"/>
    </row>
    <row r="4" spans="1:13" s="1051" customFormat="1" ht="20.100000000000001" customHeight="1">
      <c r="B4" s="1094"/>
      <c r="D4" s="1108"/>
      <c r="F4" s="1092" t="s">
        <v>1989</v>
      </c>
      <c r="G4" s="1091" t="s">
        <v>1988</v>
      </c>
      <c r="H4" s="1093">
        <f>I18</f>
        <v>27602629.829248365</v>
      </c>
      <c r="I4" s="1095"/>
      <c r="K4" s="1055"/>
    </row>
    <row r="5" spans="1:13" s="1051" customFormat="1" ht="20.100000000000001" customHeight="1" thickBot="1">
      <c r="B5" s="1096"/>
      <c r="C5" s="1097"/>
      <c r="D5" s="1109"/>
      <c r="E5" s="1098"/>
      <c r="F5" s="1109" t="s">
        <v>1939</v>
      </c>
      <c r="G5" s="1110"/>
      <c r="H5" s="1106">
        <f>IFERROR(H3/H4,0)</f>
        <v>2.8945817298661236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1937</v>
      </c>
      <c r="C8" s="2677"/>
      <c r="D8" s="2677"/>
      <c r="E8" s="2678"/>
      <c r="G8" s="2653" t="s">
        <v>1938</v>
      </c>
      <c r="H8" s="2654"/>
      <c r="I8" s="2655"/>
      <c r="K8" s="1057"/>
    </row>
    <row r="9" spans="1:13" ht="15" customHeight="1">
      <c r="A9" s="1046"/>
      <c r="B9" s="2674" t="s">
        <v>1971</v>
      </c>
      <c r="C9" s="2674"/>
      <c r="D9" s="2674"/>
      <c r="E9" s="1059">
        <f>G33</f>
        <v>17385000</v>
      </c>
      <c r="G9" s="2666" t="s">
        <v>1969</v>
      </c>
      <c r="H9" s="2666"/>
      <c r="I9" s="1060">
        <f>SUMIF(Application!M554:M565,"Loan, Tax-Exempt",Application!AM554:AM565)</f>
        <v>29391578</v>
      </c>
      <c r="K9" s="1061"/>
      <c r="M9" s="1062"/>
    </row>
    <row r="10" spans="1:13" ht="15" customHeight="1" thickBot="1">
      <c r="A10" s="1046"/>
      <c r="B10" s="2674" t="s">
        <v>1972</v>
      </c>
      <c r="C10" s="2674"/>
      <c r="D10" s="2674"/>
      <c r="E10" s="1060">
        <f>G47</f>
        <v>24609168</v>
      </c>
      <c r="G10" s="2680" t="s">
        <v>1940</v>
      </c>
      <c r="H10" s="2680"/>
      <c r="I10" s="1140">
        <f>'Basis &amp; Credits'!AB78</f>
        <v>0</v>
      </c>
      <c r="M10" s="1062"/>
    </row>
    <row r="11" spans="1:13" ht="15" customHeight="1">
      <c r="A11" s="1046"/>
      <c r="B11" s="2667" t="s">
        <v>2259</v>
      </c>
      <c r="C11" s="2668"/>
      <c r="D11" s="2669"/>
      <c r="E11" s="1060">
        <f>SUM(E12,E13)</f>
        <v>700000</v>
      </c>
      <c r="G11" s="2665" t="s">
        <v>1980</v>
      </c>
      <c r="H11" s="2665"/>
      <c r="I11" s="1139">
        <f>I9+I10</f>
        <v>29391578</v>
      </c>
      <c r="M11" s="1062"/>
    </row>
    <row r="12" spans="1:13" ht="15" customHeight="1">
      <c r="A12" s="1063"/>
      <c r="B12" s="2675" t="s">
        <v>2261</v>
      </c>
      <c r="C12" s="2675"/>
      <c r="D12" s="2675"/>
      <c r="E12" s="1165">
        <f>G56</f>
        <v>0</v>
      </c>
      <c r="M12" s="1062"/>
    </row>
    <row r="13" spans="1:13" ht="15" customHeight="1">
      <c r="A13" s="1049"/>
      <c r="B13" s="2675" t="s">
        <v>2262</v>
      </c>
      <c r="C13" s="2675"/>
      <c r="D13" s="2675"/>
      <c r="E13" s="1165">
        <f>G65</f>
        <v>700000</v>
      </c>
      <c r="G13" s="2653" t="s">
        <v>2003</v>
      </c>
      <c r="H13" s="2654"/>
      <c r="I13" s="2655"/>
      <c r="M13" s="1062"/>
    </row>
    <row r="14" spans="1:13" ht="15" customHeight="1">
      <c r="A14" s="1049"/>
      <c r="B14" s="2667" t="s">
        <v>2260</v>
      </c>
      <c r="C14" s="2668"/>
      <c r="D14" s="2669"/>
      <c r="E14" s="1167">
        <f>MAX(E15,E16)+E17</f>
        <v>37203900</v>
      </c>
      <c r="G14" s="2666" t="s">
        <v>139</v>
      </c>
      <c r="H14" s="2666"/>
      <c r="I14" s="1064">
        <f>15%*(AND(G120="Yes",G122&lt;&gt;""))</f>
        <v>0</v>
      </c>
      <c r="M14" s="1062"/>
    </row>
    <row r="15" spans="1:13" ht="15" customHeight="1">
      <c r="A15" s="1049"/>
      <c r="B15" s="2650" t="s">
        <v>2266</v>
      </c>
      <c r="C15" s="2651"/>
      <c r="D15" s="2652"/>
      <c r="E15" s="1165">
        <f>G80</f>
        <v>10431000</v>
      </c>
      <c r="G15" s="1137" t="s">
        <v>1981</v>
      </c>
      <c r="H15" s="1137"/>
      <c r="I15" s="1064">
        <f>IF(Application!AJ1032&gt;0,10%,IF(Application!AJ1036&gt;0,5%,0))</f>
        <v>0</v>
      </c>
      <c r="M15" s="1062"/>
    </row>
    <row r="16" spans="1:13" ht="15" customHeight="1">
      <c r="A16" s="1049"/>
      <c r="B16" s="2650" t="s">
        <v>2265</v>
      </c>
      <c r="C16" s="2651"/>
      <c r="D16" s="2652"/>
      <c r="E16" s="1165">
        <f>G90</f>
        <v>6954000</v>
      </c>
      <c r="G16" s="2666" t="s">
        <v>1982</v>
      </c>
      <c r="H16" s="2666"/>
      <c r="I16" s="1064">
        <f>G132</f>
        <v>6.0866013071895424E-2</v>
      </c>
    </row>
    <row r="17" spans="1:21" ht="15" customHeight="1" thickBot="1">
      <c r="A17" s="1049"/>
      <c r="B17" s="2650" t="s">
        <v>2264</v>
      </c>
      <c r="C17" s="2651"/>
      <c r="D17" s="2652"/>
      <c r="E17" s="1165">
        <f>G115</f>
        <v>26772900</v>
      </c>
      <c r="G17" s="2666" t="s">
        <v>2274</v>
      </c>
      <c r="H17" s="2666"/>
      <c r="I17" s="1064">
        <f>IF(AND(G139="Yes",OR(G136,G137)),IF(G143&gt;15%,15%,G143),0)</f>
        <v>0</v>
      </c>
    </row>
    <row r="18" spans="1:21" ht="15" customHeight="1">
      <c r="A18" s="1046"/>
      <c r="B18" s="2679" t="s">
        <v>1936</v>
      </c>
      <c r="C18" s="2679"/>
      <c r="D18" s="2679"/>
      <c r="E18" s="1111">
        <f>SUM(E9:E11,E14)</f>
        <v>79898068</v>
      </c>
      <c r="G18" s="1138" t="s">
        <v>1970</v>
      </c>
      <c r="H18" s="1138"/>
      <c r="I18" s="1112">
        <f>I11-((I11*I14)+(I11*I15)+(I11*I16)+(I11*I17))</f>
        <v>27602629.829248365</v>
      </c>
      <c r="M18" s="1065">
        <f>SUM(Cdlac[Quantity])</f>
        <v>342</v>
      </c>
      <c r="O18" s="1084" t="s">
        <v>581</v>
      </c>
      <c r="P18" s="1044">
        <f>MATCH(Application!T189,Application!CB160:CB217,0)</f>
        <v>19</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2257</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35</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57" t="s">
        <v>1984</v>
      </c>
      <c r="D22" s="2657" t="s">
        <v>1985</v>
      </c>
      <c r="E22" s="2657" t="s">
        <v>1986</v>
      </c>
      <c r="F22" s="2657" t="s">
        <v>2605</v>
      </c>
      <c r="G22" s="2657" t="s">
        <v>1983</v>
      </c>
      <c r="H22" s="1070"/>
      <c r="I22" s="1069"/>
      <c r="L22" s="1044">
        <f>IFERROR(MIN(4,MATCH(Application!B720,UnitSizes,0)-1),"")</f>
        <v>0</v>
      </c>
      <c r="M22" s="1065">
        <f>Application!G720</f>
        <v>33</v>
      </c>
      <c r="N22" s="1071">
        <f>Application!AC720</f>
        <v>0.5</v>
      </c>
      <c r="O22" s="1071">
        <f>IF(Cdlac[[#This Row],[Quantity]]&gt;0,IF(Cdlac[[#This Row],[Federal]],30%,IF(AND(OR(NOT($G$38),$G$38=""),$G$43),40%,Cdlac[[#This Row],[iAMI]])),"")</f>
        <v>0.5</v>
      </c>
      <c r="P22" s="1065" cm="1">
        <f t="array" ref="P22">IF(Cdlac[[#This Row],[Quantity]]&gt;0,INDEX(TcacRents,$P$18,Cdlac[[#This Row],[Bedrooms]]+1)*Cdlac[[#This Row],[AMI]],"")</f>
        <v>1325</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531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68</v>
      </c>
      <c r="F24" s="1072">
        <f>E24</f>
        <v>68</v>
      </c>
      <c r="G24" s="1072">
        <f>D24*F24</f>
        <v>61.2</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224</v>
      </c>
      <c r="F25" s="1072">
        <f>E25</f>
        <v>224</v>
      </c>
      <c r="G25" s="1072">
        <f>D25*F25</f>
        <v>224</v>
      </c>
      <c r="L25" s="1044">
        <f>IFERROR(MIN(4,MATCH(Application!B723,UnitSizes,0)-1),"")</f>
        <v>0</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50</v>
      </c>
      <c r="F26" s="1075">
        <f>SUM(E26:E28)-SUM(F27:F28)</f>
        <v>50</v>
      </c>
      <c r="G26" s="1072">
        <f>D26*F26</f>
        <v>62.5</v>
      </c>
      <c r="H26" s="1074"/>
      <c r="I26" s="1074"/>
      <c r="L26" s="1044">
        <f>IFERROR(MIN(4,MATCH(Application!B724,UnitSizes,0)-1),"")</f>
        <v>1</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1420</v>
      </c>
      <c r="Q28" s="1164"/>
      <c r="R28" s="1065" cm="1">
        <f t="array" ref="R28">IF(Cdlac[[#This Row],[Quantity]]&gt;0,INDEX(HudFmrs,$P$18,Cdlac[[#This Row],[Bedrooms]]+1),"")</f>
        <v>2081</v>
      </c>
      <c r="S28" s="1065">
        <f>IF(Cdlac[[#This Row],[Quantity]]&gt;0,MAX(0,Cdlac[[#This Row],[Fair Market Rent]]-IF(AND($G$37,$G$38,$G$38&lt;&gt;"",NOT(Cdlac[[#This Row],[Federal]]),Cdlac[[#This Row],[Preservation Rent]]&lt;&gt;""),Cdlac[[#This Row],[Preservation Rent]],Cdlac[[#This Row],[Restricted Rent]])),"")</f>
        <v>661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9" t="s">
        <v>1584</v>
      </c>
      <c r="D29" s="2660"/>
      <c r="E29" s="1089">
        <f>SUM(E24:E28)</f>
        <v>342</v>
      </c>
      <c r="F29" s="1089">
        <f>SUM(F24:F28)</f>
        <v>342</v>
      </c>
      <c r="G29" s="1090">
        <f>SUMPRODUCT(D24:D28,F24:F28)</f>
        <v>347.7</v>
      </c>
      <c r="H29" s="1074"/>
      <c r="I29" s="1074"/>
      <c r="L29" s="1044">
        <f>IFERROR(MIN(4,MATCH(Application!B727,UnitSizes,0)-1),"")</f>
        <v>1</v>
      </c>
      <c r="M29" s="1065">
        <f>Application!G727</f>
        <v>162</v>
      </c>
      <c r="N29" s="1071">
        <f>Application!AC727</f>
        <v>0.6</v>
      </c>
      <c r="O29" s="1071">
        <f>IF(Cdlac[[#This Row],[Quantity]]&gt;0,IF(Cdlac[[#This Row],[Federal]],30%,IF(AND(OR(NOT($G$38),$G$38=""),$G$43),40%,Cdlac[[#This Row],[iAMI]])),"")</f>
        <v>0.6</v>
      </c>
      <c r="P29" s="1065" cm="1">
        <f t="array" ref="P29">IF(Cdlac[[#This Row],[Quantity]]&gt;0,INDEX(TcacRents,$P$18,Cdlac[[#This Row],[Bedrooms]]+1)*Cdlac[[#This Row],[AMI]],"")</f>
        <v>1704</v>
      </c>
      <c r="Q29" s="1164"/>
      <c r="R29" s="1065" cm="1">
        <f t="array" ref="R29">IF(Cdlac[[#This Row],[Quantity]]&gt;0,INDEX(HudFmrs,$P$18,Cdlac[[#This Row],[Bedrooms]]+1),"")</f>
        <v>2081</v>
      </c>
      <c r="S29" s="1065">
        <f>IF(Cdlac[[#This Row],[Quantity]]&gt;0,MAX(0,Cdlac[[#This Row],[Fair Market Rent]]-IF(AND($G$37,$G$38,$G$38&lt;&gt;"",NOT(Cdlac[[#This Row],[Federal]]),Cdlac[[#This Row],[Preservation Rent]]&lt;&gt;""),Cdlac[[#This Row],[Preservation Rent]],Cdlac[[#This Row],[Restricted Rent]])),"")</f>
        <v>377</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60</v>
      </c>
      <c r="N30" s="1071">
        <f>Application!AC728</f>
        <v>0.7</v>
      </c>
      <c r="O30" s="1071">
        <f>IF(Cdlac[[#This Row],[Quantity]]&gt;0,IF(Cdlac[[#This Row],[Federal]],30%,IF(AND(OR(NOT($G$38),$G$38=""),$G$43),40%,Cdlac[[#This Row],[iAMI]])),"")</f>
        <v>0.7</v>
      </c>
      <c r="P30" s="1065" cm="1">
        <f t="array" ref="P30">IF(Cdlac[[#This Row],[Quantity]]&gt;0,INDEX(TcacRents,$P$18,Cdlac[[#This Row],[Bedrooms]]+1)*Cdlac[[#This Row],[AMI]],"")</f>
        <v>1987.9999999999998</v>
      </c>
      <c r="Q30" s="1164"/>
      <c r="R30" s="1065" cm="1">
        <f t="array" ref="R30">IF(Cdlac[[#This Row],[Quantity]]&gt;0,INDEX(HudFmrs,$P$18,Cdlac[[#This Row],[Bedrooms]]+1),"")</f>
        <v>2081</v>
      </c>
      <c r="S30" s="1065">
        <f>IF(Cdlac[[#This Row],[Quantity]]&gt;0,MAX(0,Cdlac[[#This Row],[Fair Market Rent]]-IF(AND($G$37,$G$38,$G$38&lt;&gt;"",NOT(Cdlac[[#This Row],[Federal]]),Cdlac[[#This Row],[Preservation Rent]]&lt;&gt;""),Cdlac[[#This Row],[Preservation Rent]],Cdlac[[#This Row],[Restricted Rent]])),"")</f>
        <v>93.000000000000227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347.7</v>
      </c>
      <c r="H31" s="1074"/>
      <c r="I31" s="1074"/>
      <c r="L31" s="1044">
        <f>IFERROR(MIN(4,MATCH(Application!B729,UnitSizes,0)-1),"")</f>
        <v>1</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2</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17385000</v>
      </c>
      <c r="H33" s="1074"/>
      <c r="I33" s="1074"/>
      <c r="L33" s="1044">
        <f>IFERROR(MIN(4,MATCH(Application!B731,UnitSizes,0)-1),"")</f>
        <v>2</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6</v>
      </c>
      <c r="N35" s="1071">
        <f>Application!AC733</f>
        <v>0.6</v>
      </c>
      <c r="O35" s="1071">
        <f>IF(Cdlac[[#This Row],[Quantity]]&gt;0,IF(Cdlac[[#This Row],[Federal]],30%,IF(AND(OR(NOT($G$38),$G$38=""),$G$43),40%,Cdlac[[#This Row],[iAMI]])),"")</f>
        <v>0.6</v>
      </c>
      <c r="P35" s="1065" cm="1">
        <f t="array" ref="P35">IF(Cdlac[[#This Row],[Quantity]]&gt;0,INDEX(TcacRents,$P$18,Cdlac[[#This Row],[Bedrooms]]+1)*Cdlac[[#This Row],[AMI]],"")</f>
        <v>2043.6</v>
      </c>
      <c r="Q35" s="1164"/>
      <c r="R35" s="1065" cm="1">
        <f t="array" ref="R35">IF(Cdlac[[#This Row],[Quantity]]&gt;0,INDEX(HudFmrs,$P$18,Cdlac[[#This Row],[Bedrooms]]+1),"")</f>
        <v>2625</v>
      </c>
      <c r="S35" s="1065">
        <f>IF(Cdlac[[#This Row],[Quantity]]&gt;0,MAX(0,Cdlac[[#This Row],[Fair Market Rent]]-IF(AND($G$37,$G$38,$G$38&lt;&gt;"",NOT(Cdlac[[#This Row],[Federal]]),Cdlac[[#This Row],[Preservation Rent]]&lt;&gt;""),Cdlac[[#This Row],[Preservation Rent]],Cdlac[[#This Row],[Restricted Rent]])),"")</f>
        <v>581.40000000000009</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44</v>
      </c>
      <c r="N36" s="1071">
        <f>Application!AC734</f>
        <v>0.7</v>
      </c>
      <c r="O36" s="1071">
        <f>IF(Cdlac[[#This Row],[Quantity]]&gt;0,IF(Cdlac[[#This Row],[Federal]],30%,IF(AND(OR(NOT($G$38),$G$38=""),$G$43),40%,Cdlac[[#This Row],[iAMI]])),"")</f>
        <v>0.7</v>
      </c>
      <c r="P36" s="1065" cm="1">
        <f t="array" ref="P36">IF(Cdlac[[#This Row],[Quantity]]&gt;0,INDEX(TcacRents,$P$18,Cdlac[[#This Row],[Bedrooms]]+1)*Cdlac[[#This Row],[AMI]],"")</f>
        <v>2384.1999999999998</v>
      </c>
      <c r="Q36" s="1164"/>
      <c r="R36" s="1065" cm="1">
        <f t="array" ref="R36">IF(Cdlac[[#This Row],[Quantity]]&gt;0,INDEX(HudFmrs,$P$18,Cdlac[[#This Row],[Bedrooms]]+1),"")</f>
        <v>2625</v>
      </c>
      <c r="S36" s="1065">
        <f>IF(Cdlac[[#This Row],[Quantity]]&gt;0,MAX(0,Cdlac[[#This Row],[Fair Market Rent]]-IF(AND($G$37,$G$38,$G$38&lt;&gt;"",NOT(Cdlac[[#This Row],[Federal]]),Cdlac[[#This Row],[Preservation Rent]]&lt;&gt;""),Cdlac[[#This Row],[Preservation Rent]],Cdlac[[#This Row],[Restricted Rent]])),"")</f>
        <v>240.80000000000018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2255</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2256</v>
      </c>
      <c r="G38" s="1163"/>
      <c r="L38" s="1044">
        <f>IFERROR(MIN(4,MATCH(Application!B736,UnitSizes,0)-1),"")</f>
        <v>3</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f>IFERROR(MIN(4,MATCH(Application!B737,UnitSizes,0)-1),"")</f>
        <v>3</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f>IFERROR(MIN(4,MATCH(Application!B738,UnitSizes,0)-1),"")</f>
        <v>3</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f>IFERROR(MIN(4,MATCH(Application!B739,UnitSizes,0)-1),"")</f>
        <v>3</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0.58947368421052626</v>
      </c>
      <c r="L42" s="1044">
        <f>IFERROR(MIN(4,MATCH(Application!B740,UnitSizes,0)-1),"")</f>
        <v>3</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f>IFERROR(MIN(4,MATCH(Application!B741,UnitSizes,0)-1),"")</f>
        <v>3</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136717.6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24609168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171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35</v>
      </c>
    </row>
    <row r="61" spans="2:21" ht="15" customHeight="1">
      <c r="E61" s="1117" t="s">
        <v>1992</v>
      </c>
      <c r="G61" s="1079">
        <f>ROUNDDOWN(E29*50%,0)</f>
        <v>171</v>
      </c>
    </row>
    <row r="62" spans="2:21" ht="15" customHeight="1">
      <c r="E62" s="1117"/>
      <c r="G62" s="1079"/>
    </row>
    <row r="63" spans="2:21" ht="15" customHeight="1">
      <c r="E63" s="1117" t="s">
        <v>1952</v>
      </c>
      <c r="G63" s="1114">
        <f>MIN(G60:G61)</f>
        <v>35</v>
      </c>
    </row>
    <row r="64" spans="2:21" ht="15" customHeight="1">
      <c r="E64" s="1117" t="s">
        <v>1942</v>
      </c>
      <c r="F64" s="1113" t="s">
        <v>1990</v>
      </c>
      <c r="G64" s="1124">
        <v>20000</v>
      </c>
    </row>
    <row r="65" spans="2:14" ht="15" customHeight="1">
      <c r="E65" s="1118" t="s">
        <v>1974</v>
      </c>
      <c r="F65" s="1046"/>
      <c r="G65" s="1123">
        <f>G63*G64</f>
        <v>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Moderate Resource</v>
      </c>
      <c r="L72" s="2670" t="s">
        <v>1967</v>
      </c>
      <c r="M72" s="2671"/>
      <c r="N72" s="1131">
        <v>30000</v>
      </c>
    </row>
    <row r="73" spans="2:14" ht="15" customHeight="1">
      <c r="C73" s="2672" t="s">
        <v>2258</v>
      </c>
      <c r="D73" s="2672"/>
      <c r="E73" s="2672"/>
      <c r="F73" s="2672"/>
      <c r="G73" s="1043" t="str">
        <f>'[1]Data Port'!$D$18</f>
        <v>Yes</v>
      </c>
      <c r="L73" s="2681" t="s">
        <v>1935</v>
      </c>
      <c r="M73" s="2682"/>
      <c r="N73" s="1132">
        <v>20000</v>
      </c>
    </row>
    <row r="74" spans="2:14" ht="15" customHeight="1" thickBot="1">
      <c r="C74" s="2672"/>
      <c r="D74" s="2672"/>
      <c r="E74" s="2672"/>
      <c r="F74" s="2672"/>
      <c r="L74" s="2683" t="s">
        <v>1968</v>
      </c>
      <c r="M74" s="2684"/>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G29</f>
        <v>347.7</v>
      </c>
    </row>
    <row r="80" spans="2:14" ht="15" customHeight="1">
      <c r="D80" s="1046"/>
      <c r="E80" s="1118" t="s">
        <v>2263</v>
      </c>
      <c r="F80" s="1046"/>
      <c r="G80" s="1123">
        <f>G79*G78*G76</f>
        <v>10431000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544</v>
      </c>
    </row>
    <row r="85" spans="2:9" ht="15" customHeight="1">
      <c r="F85" s="1116"/>
    </row>
    <row r="86" spans="2:9" ht="15" customHeight="1">
      <c r="E86" s="1084" t="s">
        <v>1997</v>
      </c>
      <c r="G86" s="1079" t="b">
        <f>G84="Yes"</f>
        <v>1</v>
      </c>
    </row>
    <row r="87" spans="2:9" ht="15" customHeight="1"/>
    <row r="88" spans="2:9" ht="15" customHeight="1">
      <c r="E88" s="1084" t="str">
        <f>E96</f>
        <v>Bedroom-Adjusted Low-Income Units</v>
      </c>
      <c r="G88" s="1114">
        <f>G29</f>
        <v>347.7</v>
      </c>
    </row>
    <row r="89" spans="2:9" ht="15" customHeight="1">
      <c r="E89" s="1084" t="s">
        <v>1942</v>
      </c>
      <c r="F89" s="1113" t="s">
        <v>1990</v>
      </c>
      <c r="G89" s="1050">
        <v>20000</v>
      </c>
    </row>
    <row r="90" spans="2:9" ht="15" customHeight="1">
      <c r="E90" s="1118" t="s">
        <v>2267</v>
      </c>
      <c r="F90" s="1046"/>
      <c r="G90" s="1123">
        <f>G86*G89*G88</f>
        <v>6954000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347.7</v>
      </c>
    </row>
    <row r="97" spans="2:14" ht="15" customHeight="1">
      <c r="E97" s="1118" t="s">
        <v>1959</v>
      </c>
      <c r="F97" s="1046"/>
      <c r="G97" s="1123">
        <f>G94*G95*G96</f>
        <v>9735600</v>
      </c>
      <c r="L97" s="1127" t="str">
        <f>'Points System'!H638</f>
        <v>(i)</v>
      </c>
      <c r="M97" s="2689" t="s">
        <v>1403</v>
      </c>
      <c r="N97" s="2690"/>
    </row>
    <row r="98" spans="2:14" ht="15" customHeight="1">
      <c r="C98" s="1077"/>
      <c r="G98" s="1114"/>
      <c r="L98" s="1128" t="str">
        <f>'Points System'!H650</f>
        <v>(i)</v>
      </c>
      <c r="M98" s="2685" t="s">
        <v>1954</v>
      </c>
      <c r="N98" s="2686"/>
    </row>
    <row r="99" spans="2:14" ht="15" customHeight="1">
      <c r="E99" s="1084" t="s">
        <v>1995</v>
      </c>
      <c r="G99" s="1126">
        <f>COUNTIFS(L97:L104,"(i)")</f>
        <v>6</v>
      </c>
      <c r="L99" s="1128" t="str">
        <f>'Points System'!H685</f>
        <v>(i)</v>
      </c>
      <c r="M99" s="2685" t="s">
        <v>1955</v>
      </c>
      <c r="N99" s="2686"/>
    </row>
    <row r="100" spans="2:14" ht="15" customHeight="1">
      <c r="E100" s="1084" t="s">
        <v>1942</v>
      </c>
      <c r="F100" s="1113" t="s">
        <v>1990</v>
      </c>
      <c r="G100" s="1124">
        <v>4000</v>
      </c>
      <c r="L100" s="1128" t="str">
        <f>IF(OR('Points System'!H709="(ii)",'Points System'!H709="(i)"),"(i)","N/A")</f>
        <v>(i)</v>
      </c>
      <c r="M100" s="2685" t="s">
        <v>1956</v>
      </c>
      <c r="N100" s="2686"/>
    </row>
    <row r="101" spans="2:14" ht="15" customHeight="1">
      <c r="E101" s="1118" t="s">
        <v>1960</v>
      </c>
      <c r="F101" s="1046"/>
      <c r="G101" s="1123">
        <f>G96*G99*G100</f>
        <v>8344799.9999999991</v>
      </c>
      <c r="L101" s="1129" t="str">
        <f>'Points System'!H723</f>
        <v>N/A</v>
      </c>
      <c r="M101" s="2685" t="s">
        <v>1429</v>
      </c>
      <c r="N101" s="2686"/>
    </row>
    <row r="102" spans="2:14" ht="15" customHeight="1">
      <c r="L102" s="1128" t="str">
        <f>'Points System'!H735</f>
        <v>N/A</v>
      </c>
      <c r="M102" s="2685" t="s">
        <v>1957</v>
      </c>
      <c r="N102" s="2686"/>
    </row>
    <row r="103" spans="2:14" ht="15" customHeight="1">
      <c r="C103" s="1080" t="s">
        <v>1962</v>
      </c>
      <c r="L103" s="1128" t="str">
        <f>'Points System'!H751</f>
        <v>(i)</v>
      </c>
      <c r="M103" s="2685" t="s">
        <v>1958</v>
      </c>
      <c r="N103" s="2686"/>
    </row>
    <row r="104" spans="2:14" ht="15" customHeight="1" thickBot="1">
      <c r="C104" s="1077" t="s">
        <v>1963</v>
      </c>
      <c r="G104" s="1043"/>
      <c r="L104" s="1130" t="str">
        <f>'Points System'!H763</f>
        <v>(i)</v>
      </c>
      <c r="M104" s="2687" t="s">
        <v>1432</v>
      </c>
      <c r="N104" s="2688"/>
    </row>
    <row r="105" spans="2:14" ht="15" customHeight="1">
      <c r="C105" s="1077" t="s">
        <v>1964</v>
      </c>
      <c r="G105" s="1043"/>
    </row>
    <row r="106" spans="2:14" ht="15" customHeight="1">
      <c r="C106" s="1077" t="s">
        <v>2136</v>
      </c>
      <c r="G106" s="1043" t="s">
        <v>544</v>
      </c>
    </row>
    <row r="107" spans="2:14" ht="15" customHeight="1">
      <c r="C107" s="1077" t="s">
        <v>2137</v>
      </c>
      <c r="G107" s="1043" t="s">
        <v>544</v>
      </c>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347.7</v>
      </c>
    </row>
    <row r="112" spans="2:14" ht="15" customHeight="1">
      <c r="E112" s="1084" t="s">
        <v>1942</v>
      </c>
      <c r="F112" s="1113" t="s">
        <v>1990</v>
      </c>
      <c r="G112" s="1124">
        <v>25000</v>
      </c>
    </row>
    <row r="113" spans="2:9" ht="15" customHeight="1">
      <c r="E113" s="1118" t="s">
        <v>1961</v>
      </c>
      <c r="F113" s="1046"/>
      <c r="G113" s="1123">
        <f>G109*G112*G96</f>
        <v>8692500</v>
      </c>
    </row>
    <row r="114" spans="2:9" ht="15" customHeight="1">
      <c r="C114" s="1077"/>
      <c r="E114" s="1077"/>
    </row>
    <row r="115" spans="2:9" ht="15" customHeight="1">
      <c r="E115" s="1118" t="s">
        <v>2268</v>
      </c>
      <c r="G115" s="1123">
        <f>G113+G101+G97</f>
        <v>26772900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2223</v>
      </c>
      <c r="D119" s="2661"/>
      <c r="E119" s="2661"/>
      <c r="F119" s="2661"/>
    </row>
    <row r="120" spans="2:9" ht="15" customHeight="1">
      <c r="C120" s="2661"/>
      <c r="D120" s="2661"/>
      <c r="E120" s="2661"/>
      <c r="F120" s="2661"/>
      <c r="G120" s="1043"/>
    </row>
    <row r="121" spans="2:9" ht="15" customHeight="1"/>
    <row r="122" spans="2:9" ht="15" customHeight="1">
      <c r="C122" s="1044" t="s">
        <v>2225</v>
      </c>
      <c r="G122" s="2663"/>
      <c r="H122" s="2663"/>
    </row>
    <row r="123" spans="2:9" ht="15" customHeight="1">
      <c r="G123" s="2663"/>
      <c r="H123" s="2663"/>
    </row>
    <row r="124" spans="2:9" ht="15" customHeight="1">
      <c r="G124" s="2664"/>
      <c r="H124" s="2664"/>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1998</v>
      </c>
      <c r="G131" s="1078">
        <f>MEDIAN((Application!CU160:CU217))</f>
        <v>489600</v>
      </c>
    </row>
    <row r="132" spans="2:9" ht="15">
      <c r="D132" s="1046"/>
      <c r="E132" s="1118" t="s">
        <v>2000</v>
      </c>
      <c r="F132" s="1134"/>
      <c r="G132" s="1135">
        <f>((G130-G131)/G131)*0.25</f>
        <v>6.0866013071895424E-2</v>
      </c>
      <c r="H132" s="1042"/>
      <c r="I132" s="1042"/>
    </row>
    <row r="133" spans="2:9">
      <c r="D133" s="1045"/>
      <c r="E133" s="1045"/>
    </row>
    <row r="134" spans="2:9" ht="15">
      <c r="B134" s="1066" t="s">
        <v>2269</v>
      </c>
      <c r="C134" s="1067"/>
      <c r="D134" s="1067"/>
      <c r="E134" s="1067"/>
      <c r="F134" s="1067"/>
      <c r="G134" s="1067"/>
      <c r="H134" s="1067"/>
      <c r="I134" s="1068"/>
    </row>
    <row r="136" spans="2:9">
      <c r="E136" s="1084" t="s">
        <v>2255</v>
      </c>
      <c r="G136" s="1044" t="b">
        <f>G37</f>
        <v>1</v>
      </c>
    </row>
    <row r="137" spans="2:9">
      <c r="E137" s="1084" t="s">
        <v>2270</v>
      </c>
      <c r="G137" s="1044" t="b">
        <f>OR('Points System'!B52="Yes", 'Points System'!B56="Yes",'Points System'!B58="Yes")</f>
        <v>0</v>
      </c>
    </row>
    <row r="138" spans="2:9">
      <c r="C138" s="2656" t="s">
        <v>2271</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2273</v>
      </c>
      <c r="G141" s="1169"/>
    </row>
    <row r="143" spans="2:9">
      <c r="E143" s="1084" t="s">
        <v>2275</v>
      </c>
      <c r="G143" s="1168">
        <f>IF(I9=0,0,G141/I9)</f>
        <v>0</v>
      </c>
    </row>
    <row r="144" spans="2:9">
      <c r="E144" s="1084" t="s">
        <v>2272</v>
      </c>
      <c r="G144" s="1166">
        <f>I9*0.15</f>
        <v>4408736.7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G39" sqref="G39"/>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2250</v>
      </c>
      <c r="C3" s="426" t="s">
        <v>2251</v>
      </c>
      <c r="D3" s="1146" t="s">
        <v>2252</v>
      </c>
      <c r="E3" s="204"/>
      <c r="F3" s="1146" t="s">
        <v>910</v>
      </c>
      <c r="G3" s="426" t="s">
        <v>911</v>
      </c>
      <c r="H3" s="427"/>
      <c r="I3" s="426" t="s">
        <v>912</v>
      </c>
      <c r="J3" s="426" t="s">
        <v>913</v>
      </c>
      <c r="K3" s="204"/>
      <c r="L3" s="305"/>
    </row>
    <row r="4" spans="1:12">
      <c r="A4" s="428" t="str">
        <f>Application!B718</f>
        <v>SRO/Studio</v>
      </c>
      <c r="B4" s="1082">
        <f>Application!G718</f>
        <v>35</v>
      </c>
      <c r="C4" s="1162"/>
      <c r="D4" s="428">
        <f>Application!O718</f>
        <v>712</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t="str">
        <f>Application!B720</f>
        <v>SRO/Studio</v>
      </c>
      <c r="B6" s="1082">
        <f>Application!G720</f>
        <v>33</v>
      </c>
      <c r="C6" s="1162"/>
      <c r="D6" s="428">
        <f>Application!O720</f>
        <v>1241</v>
      </c>
      <c r="E6" s="429"/>
      <c r="F6" s="1083"/>
      <c r="G6" s="428">
        <f t="shared" si="2"/>
        <v>0</v>
      </c>
      <c r="H6" s="429"/>
      <c r="I6" s="428" t="str">
        <f t="shared" si="0"/>
        <v/>
      </c>
      <c r="J6" s="428" t="str">
        <f t="shared" si="1"/>
        <v/>
      </c>
      <c r="K6" s="204"/>
      <c r="L6" s="305"/>
    </row>
    <row r="7" spans="1:12">
      <c r="A7" s="428" t="str">
        <f>Application!B721</f>
        <v>SRO/Studio</v>
      </c>
      <c r="B7" s="1082">
        <f>Application!G721</f>
        <v>0</v>
      </c>
      <c r="C7" s="1162"/>
      <c r="D7" s="428">
        <f>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Application!O722</f>
        <v>0</v>
      </c>
      <c r="E8" s="429"/>
      <c r="F8" s="1083"/>
      <c r="G8" s="428">
        <f t="shared" si="2"/>
        <v>0</v>
      </c>
      <c r="H8" s="429"/>
      <c r="I8" s="428" t="str">
        <f t="shared" si="0"/>
        <v/>
      </c>
      <c r="J8" s="428" t="str">
        <f t="shared" si="1"/>
        <v/>
      </c>
      <c r="K8" s="204"/>
      <c r="L8" s="305"/>
    </row>
    <row r="9" spans="1:12">
      <c r="A9" s="428" t="str">
        <f>Application!B723</f>
        <v>SRO/Studio</v>
      </c>
      <c r="B9" s="1082">
        <f>Application!G723</f>
        <v>0</v>
      </c>
      <c r="C9" s="1162"/>
      <c r="D9" s="428">
        <f>Application!O723</f>
        <v>0</v>
      </c>
      <c r="E9" s="429"/>
      <c r="F9" s="1083"/>
      <c r="G9" s="428">
        <f t="shared" si="2"/>
        <v>0</v>
      </c>
      <c r="H9" s="429"/>
      <c r="I9" s="428" t="str">
        <f t="shared" si="0"/>
        <v/>
      </c>
      <c r="J9" s="428" t="str">
        <f t="shared" si="1"/>
        <v/>
      </c>
      <c r="K9" s="204"/>
      <c r="L9" s="305"/>
    </row>
    <row r="10" spans="1:12">
      <c r="A10" s="428" t="str">
        <f>Application!B724</f>
        <v>1 Bedroom</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1 Bedroom</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t="str">
        <f>Application!B726</f>
        <v>1 Bedroom</v>
      </c>
      <c r="B12" s="1082">
        <f>Application!G726</f>
        <v>2</v>
      </c>
      <c r="C12" s="1162"/>
      <c r="D12" s="428">
        <f>Application!O726</f>
        <v>1318</v>
      </c>
      <c r="E12" s="429"/>
      <c r="F12" s="1083"/>
      <c r="G12" s="428">
        <f t="shared" si="2"/>
        <v>0</v>
      </c>
      <c r="H12" s="429"/>
      <c r="I12" s="428" t="str">
        <f t="shared" si="0"/>
        <v/>
      </c>
      <c r="J12" s="428" t="str">
        <f t="shared" si="1"/>
        <v/>
      </c>
      <c r="K12" s="204"/>
      <c r="L12" s="305"/>
    </row>
    <row r="13" spans="1:12">
      <c r="A13" s="428" t="str">
        <f>Application!B727</f>
        <v>1 Bedroom</v>
      </c>
      <c r="B13" s="1082">
        <f>Application!G727</f>
        <v>162</v>
      </c>
      <c r="C13" s="1162"/>
      <c r="D13" s="428">
        <f>Application!O727</f>
        <v>1602</v>
      </c>
      <c r="E13" s="429"/>
      <c r="F13" s="1083"/>
      <c r="G13" s="428">
        <f t="shared" si="2"/>
        <v>0</v>
      </c>
      <c r="H13" s="429"/>
      <c r="I13" s="428" t="str">
        <f t="shared" si="0"/>
        <v/>
      </c>
      <c r="J13" s="428" t="str">
        <f t="shared" si="1"/>
        <v/>
      </c>
      <c r="K13" s="204"/>
      <c r="L13" s="305"/>
    </row>
    <row r="14" spans="1:12">
      <c r="A14" s="428" t="str">
        <f>Application!B728</f>
        <v>1 Bedroom</v>
      </c>
      <c r="B14" s="1082">
        <f>Application!G728</f>
        <v>60</v>
      </c>
      <c r="C14" s="1162"/>
      <c r="D14" s="428">
        <f>Application!O728</f>
        <v>1885</v>
      </c>
      <c r="E14" s="429"/>
      <c r="F14" s="1083"/>
      <c r="G14" s="428">
        <f t="shared" si="2"/>
        <v>0</v>
      </c>
      <c r="H14" s="429"/>
      <c r="I14" s="428" t="str">
        <f t="shared" si="0"/>
        <v/>
      </c>
      <c r="J14" s="428" t="str">
        <f t="shared" si="1"/>
        <v/>
      </c>
      <c r="K14" s="204"/>
      <c r="L14" s="305"/>
    </row>
    <row r="15" spans="1:12">
      <c r="A15" s="428" t="str">
        <f>Application!B729</f>
        <v>1 Bedroom</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t="str">
        <f>Application!B730</f>
        <v>2 Bedrooms</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t="str">
        <f>Application!B731</f>
        <v>2 Bedrooms</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t="str">
        <f>Application!B732</f>
        <v>2 Bedrooms</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t="str">
        <f>Application!B733</f>
        <v>2 Bedrooms</v>
      </c>
      <c r="B19" s="1082">
        <f>Application!G733</f>
        <v>6</v>
      </c>
      <c r="C19" s="1162"/>
      <c r="D19" s="428">
        <f>Application!O733</f>
        <v>1904</v>
      </c>
      <c r="E19" s="429"/>
      <c r="F19" s="1083"/>
      <c r="G19" s="428">
        <f t="shared" si="2"/>
        <v>0</v>
      </c>
      <c r="H19" s="429"/>
      <c r="I19" s="428" t="str">
        <f t="shared" si="0"/>
        <v/>
      </c>
      <c r="J19" s="428" t="str">
        <f t="shared" si="1"/>
        <v/>
      </c>
      <c r="K19" s="204"/>
      <c r="L19" s="305"/>
    </row>
    <row r="20" spans="1:12">
      <c r="A20" s="428" t="str">
        <f>Application!B734</f>
        <v>2 Bedrooms</v>
      </c>
      <c r="B20" s="1082">
        <f>Application!G734</f>
        <v>44</v>
      </c>
      <c r="C20" s="1162"/>
      <c r="D20" s="428">
        <f>Application!O734</f>
        <v>2245</v>
      </c>
      <c r="E20" s="429"/>
      <c r="F20" s="1083"/>
      <c r="G20" s="428">
        <f t="shared" si="2"/>
        <v>0</v>
      </c>
      <c r="H20" s="429"/>
      <c r="I20" s="428" t="str">
        <f t="shared" si="0"/>
        <v/>
      </c>
      <c r="J20" s="428" t="str">
        <f t="shared" si="1"/>
        <v/>
      </c>
      <c r="K20" s="204"/>
      <c r="L20" s="305"/>
    </row>
    <row r="21" spans="1:12">
      <c r="A21" s="428" t="str">
        <f>Application!B735</f>
        <v>2 Bedrooms</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t="str">
        <f>Application!B736</f>
        <v>3 Bedrooms</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t="str">
        <f>Application!B737</f>
        <v>3 Bedrooms</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t="str">
        <f>Application!B738</f>
        <v>3 Bedrooms</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t="str">
        <f>Application!B739</f>
        <v>3 Bedrooms</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t="str">
        <f>Application!B740</f>
        <v>3 Bedrooms</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t="str">
        <f>Application!B741</f>
        <v>3 Bedrooms</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551337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2253</v>
      </c>
    </row>
    <row r="43" spans="1:12">
      <c r="A43" s="2692" t="s">
        <v>2492</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2254</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K28" sqref="K2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2091</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6677325.7919999994</v>
      </c>
      <c r="G4" s="219">
        <f>E4*$C$4</f>
        <v>6844258.9367999984</v>
      </c>
      <c r="I4" s="219">
        <f>G4*$C$4</f>
        <v>7015365.4102199981</v>
      </c>
      <c r="K4" s="219">
        <f>I4*$C$4</f>
        <v>7190749.5454754978</v>
      </c>
      <c r="M4" s="219">
        <f>K4*$C$4</f>
        <v>7370518.2841123845</v>
      </c>
      <c r="O4" s="219">
        <f>M4*$C$4</f>
        <v>7554781.2412151936</v>
      </c>
      <c r="Q4" s="219">
        <f>O4*$C$4</f>
        <v>7743650.7722455729</v>
      </c>
      <c r="S4" s="219">
        <f>Q4*$C$4</f>
        <v>7937242.041551712</v>
      </c>
      <c r="U4" s="219">
        <f>S4*$C$4</f>
        <v>8135673.0925905043</v>
      </c>
      <c r="W4" s="219">
        <f>U4*$C$4</f>
        <v>8339064.9199052658</v>
      </c>
      <c r="Y4" s="219">
        <f>W4*$C$4</f>
        <v>8547541.5429028962</v>
      </c>
      <c r="AA4" s="219">
        <f>Y4*$C$4</f>
        <v>8761230.0814754684</v>
      </c>
      <c r="AC4" s="219">
        <f>AA4*$C$4</f>
        <v>8980260.8335123546</v>
      </c>
      <c r="AE4" s="219">
        <f>AC4*$C$4</f>
        <v>9204767.3543501627</v>
      </c>
      <c r="AG4" s="219">
        <f>AE4*$C$4</f>
        <v>9434886.5382089168</v>
      </c>
    </row>
    <row r="5" spans="1:34" s="210" customFormat="1" ht="14.25">
      <c r="B5" s="210" t="s">
        <v>837</v>
      </c>
      <c r="C5" s="238">
        <f>IF(Application!$D$211="Special Needs",(((0.1*Application!$T$212)+(0.05*(1-Application!$T$212)))),0.05)</f>
        <v>0.05</v>
      </c>
      <c r="E5" s="221">
        <f>-E4*$C$5</f>
        <v>-333866.28960000002</v>
      </c>
      <c r="F5" s="221"/>
      <c r="G5" s="221">
        <f>-G4*$C$5</f>
        <v>-342212.94683999993</v>
      </c>
      <c r="H5" s="221"/>
      <c r="I5" s="221">
        <f>-I4*$C$5</f>
        <v>-350768.27051099995</v>
      </c>
      <c r="J5" s="221"/>
      <c r="K5" s="221">
        <f>-K4*$C$5</f>
        <v>-359537.47727377492</v>
      </c>
      <c r="L5" s="221"/>
      <c r="M5" s="221">
        <f>-M4*$C$5</f>
        <v>-368525.91420561925</v>
      </c>
      <c r="N5" s="221"/>
      <c r="O5" s="221">
        <f>-O4*$C$5</f>
        <v>-377739.06206075969</v>
      </c>
      <c r="P5" s="221"/>
      <c r="Q5" s="221">
        <f>-Q4*$C$5</f>
        <v>-387182.53861227864</v>
      </c>
      <c r="R5" s="221"/>
      <c r="S5" s="221">
        <f>-S4*$C$5</f>
        <v>-396862.10207758565</v>
      </c>
      <c r="T5" s="221"/>
      <c r="U5" s="221">
        <f>-U4*$C$5</f>
        <v>-406783.65462952526</v>
      </c>
      <c r="V5" s="221"/>
      <c r="W5" s="221">
        <f>-W4*$C$5</f>
        <v>-416953.24599526334</v>
      </c>
      <c r="X5" s="221"/>
      <c r="Y5" s="221">
        <f>-Y4*$C$5</f>
        <v>-427377.07714514481</v>
      </c>
      <c r="Z5" s="221"/>
      <c r="AA5" s="221">
        <f>-AA4*$C$5</f>
        <v>-438061.50407377345</v>
      </c>
      <c r="AB5" s="221"/>
      <c r="AC5" s="221">
        <f>-AC4*$C$5</f>
        <v>-449013.04167561774</v>
      </c>
      <c r="AD5" s="221"/>
      <c r="AE5" s="221">
        <f>-AE4*$C$5</f>
        <v>-460238.36771750817</v>
      </c>
      <c r="AF5" s="221"/>
      <c r="AG5" s="221">
        <f>-AG4*$C$5</f>
        <v>-471744.32691044587</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240003.15789473685</v>
      </c>
      <c r="F8" s="222"/>
      <c r="G8" s="222">
        <f>E8*$C$8</f>
        <v>246003.23684210525</v>
      </c>
      <c r="H8" s="222"/>
      <c r="I8" s="222">
        <f>G8*$C$8</f>
        <v>252153.31776315786</v>
      </c>
      <c r="J8" s="222"/>
      <c r="K8" s="222">
        <f>I8*$C$8</f>
        <v>258457.15070723678</v>
      </c>
      <c r="L8" s="222"/>
      <c r="M8" s="222">
        <f>K8*$C$8</f>
        <v>264918.57947491767</v>
      </c>
      <c r="N8" s="222"/>
      <c r="O8" s="222">
        <f>M8*$C$8</f>
        <v>271541.54396179056</v>
      </c>
      <c r="P8" s="222"/>
      <c r="Q8" s="222">
        <f>O8*$C$8</f>
        <v>278330.08256083529</v>
      </c>
      <c r="R8" s="222"/>
      <c r="S8" s="222">
        <f>Q8*$C$8</f>
        <v>285288.33462485613</v>
      </c>
      <c r="T8" s="222"/>
      <c r="U8" s="222">
        <f>S8*$C$8</f>
        <v>292420.54299047752</v>
      </c>
      <c r="V8" s="222"/>
      <c r="W8" s="222">
        <f>U8*$C$8</f>
        <v>299731.05656523944</v>
      </c>
      <c r="X8" s="222"/>
      <c r="Y8" s="222">
        <f>W8*$C$8</f>
        <v>307224.33297937037</v>
      </c>
      <c r="Z8" s="222"/>
      <c r="AA8" s="222">
        <f>Y8*$C$8</f>
        <v>314904.94130385463</v>
      </c>
      <c r="AB8" s="222"/>
      <c r="AC8" s="222">
        <f>AA8*$C$8</f>
        <v>322777.56483645097</v>
      </c>
      <c r="AD8" s="222"/>
      <c r="AE8" s="222">
        <f>AC8*$C$8</f>
        <v>330847.00395736221</v>
      </c>
      <c r="AF8" s="222"/>
      <c r="AG8" s="222">
        <f>AE8*$C$8</f>
        <v>339118.17905629624</v>
      </c>
    </row>
    <row r="9" spans="1:34" s="210" customFormat="1" ht="14.25">
      <c r="B9" s="210" t="s">
        <v>837</v>
      </c>
      <c r="C9" s="238">
        <f>IF(Application!$D$211="Special Needs",(((0.1*Application!$T$212)+(0.05*(1-Application!$T$212)))),0.05)</f>
        <v>0.05</v>
      </c>
      <c r="E9" s="221">
        <f>-E8*$C$9</f>
        <v>-12000.157894736843</v>
      </c>
      <c r="F9" s="221"/>
      <c r="G9" s="221">
        <f>-G8*$C$9</f>
        <v>-12300.161842105263</v>
      </c>
      <c r="H9" s="221"/>
      <c r="I9" s="221">
        <f>-I8*$C$9</f>
        <v>-12607.665888157893</v>
      </c>
      <c r="J9" s="221"/>
      <c r="K9" s="221">
        <f>-K8*$C$9</f>
        <v>-12922.85753536184</v>
      </c>
      <c r="L9" s="221"/>
      <c r="M9" s="221">
        <f>-M8*$C$9</f>
        <v>-13245.928973745884</v>
      </c>
      <c r="N9" s="221"/>
      <c r="O9" s="221">
        <f>-O8*$C$9</f>
        <v>-13577.07719808953</v>
      </c>
      <c r="P9" s="221"/>
      <c r="Q9" s="221">
        <f>-Q8*$C$9</f>
        <v>-13916.504128041764</v>
      </c>
      <c r="R9" s="221"/>
      <c r="S9" s="221">
        <f>-S8*$C$9</f>
        <v>-14264.416731242807</v>
      </c>
      <c r="T9" s="221"/>
      <c r="U9" s="221">
        <f>-U8*$C$9</f>
        <v>-14621.027149523878</v>
      </c>
      <c r="V9" s="221"/>
      <c r="W9" s="221">
        <f>-W8*$C$9</f>
        <v>-14986.552828261973</v>
      </c>
      <c r="X9" s="221"/>
      <c r="Y9" s="221">
        <f>-Y8*$C$9</f>
        <v>-15361.216648968519</v>
      </c>
      <c r="Z9" s="221"/>
      <c r="AA9" s="221">
        <f>-AA8*$C$9</f>
        <v>-15745.247065192732</v>
      </c>
      <c r="AB9" s="221"/>
      <c r="AC9" s="221">
        <f>-AC8*$C$9</f>
        <v>-16138.878241822549</v>
      </c>
      <c r="AD9" s="221"/>
      <c r="AE9" s="221">
        <f>-AE8*$C$9</f>
        <v>-16542.350197868112</v>
      </c>
      <c r="AF9" s="221"/>
      <c r="AG9" s="221">
        <f>-AG8*$C$9</f>
        <v>-16955.908952814814</v>
      </c>
    </row>
    <row r="10" spans="1:34" s="210" customFormat="1" ht="14.25">
      <c r="A10" s="1143" t="s">
        <v>2219</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6571462.5023999996</v>
      </c>
      <c r="G11" s="223">
        <f>SUM(G4:G10)</f>
        <v>6735749.0649599982</v>
      </c>
      <c r="I11" s="223">
        <f>SUM(I4:I10)</f>
        <v>6904142.7915839981</v>
      </c>
      <c r="K11" s="223">
        <f>SUM(K4:K10)</f>
        <v>7076746.3613735968</v>
      </c>
      <c r="M11" s="223">
        <f>SUM(M4:M10)</f>
        <v>7253665.0204079375</v>
      </c>
      <c r="O11" s="223">
        <f>SUM(O4:O10)</f>
        <v>7435006.6459181355</v>
      </c>
      <c r="Q11" s="223">
        <f>SUM(Q4:Q10)</f>
        <v>7620881.8120660884</v>
      </c>
      <c r="S11" s="223">
        <f>SUM(S4:S10)</f>
        <v>7811403.8573677391</v>
      </c>
      <c r="U11" s="223">
        <f>SUM(U4:U10)</f>
        <v>8006688.9538019327</v>
      </c>
      <c r="W11" s="223">
        <f>SUM(W4:W10)</f>
        <v>8206856.1776469797</v>
      </c>
      <c r="Y11" s="223">
        <f>SUM(Y4:Y10)</f>
        <v>8412027.5820881538</v>
      </c>
      <c r="AA11" s="223">
        <f>SUM(AA4:AA10)</f>
        <v>8622328.2716403566</v>
      </c>
      <c r="AC11" s="223">
        <f>SUM(AC4:AC10)</f>
        <v>8837886.4784313664</v>
      </c>
      <c r="AE11" s="223">
        <f>SUM(AE4:AE10)</f>
        <v>9058833.6403921489</v>
      </c>
      <c r="AG11" s="223">
        <f>SUM(AG4:AG10)</f>
        <v>9285304.481401952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129800</v>
      </c>
      <c r="G15" s="219">
        <f>E15*$C$14</f>
        <v>134343</v>
      </c>
      <c r="I15" s="219">
        <f>G15*$C$14</f>
        <v>139045.00499999998</v>
      </c>
      <c r="K15" s="219">
        <f>I15*$C$14</f>
        <v>143911.58017499995</v>
      </c>
      <c r="M15" s="219">
        <f>K15*$C$14</f>
        <v>148948.48548112492</v>
      </c>
      <c r="O15" s="219">
        <f>M15*$C$14</f>
        <v>154161.68247296428</v>
      </c>
      <c r="Q15" s="219">
        <f>O15*$C$14</f>
        <v>159557.34135951803</v>
      </c>
      <c r="S15" s="219">
        <f>Q15*$C$14</f>
        <v>165141.84830710114</v>
      </c>
      <c r="U15" s="219">
        <f>S15*$C$14</f>
        <v>170921.81299784966</v>
      </c>
      <c r="W15" s="219">
        <f>U15*$C$14</f>
        <v>176904.07645277437</v>
      </c>
      <c r="Y15" s="219">
        <f>W15*$C$14</f>
        <v>183095.71912862145</v>
      </c>
      <c r="AA15" s="219">
        <f>Y15*$C$14</f>
        <v>189504.06929812318</v>
      </c>
      <c r="AC15" s="219">
        <f>AA15*$C$14</f>
        <v>196136.71172355747</v>
      </c>
      <c r="AE15" s="219">
        <f>AC15*$C$14</f>
        <v>203001.49663388196</v>
      </c>
      <c r="AG15" s="219">
        <f>AE15*$C$14</f>
        <v>210106.54901606782</v>
      </c>
    </row>
    <row r="16" spans="1:34" s="210" customFormat="1" ht="14.25">
      <c r="A16" s="210" t="s">
        <v>344</v>
      </c>
      <c r="C16" s="233"/>
      <c r="E16" s="222">
        <f>Application!W849</f>
        <v>262851</v>
      </c>
      <c r="F16" s="222"/>
      <c r="G16" s="222">
        <f t="shared" ref="G16:AG21" si="0">E16*$C$14</f>
        <v>272050.78499999997</v>
      </c>
      <c r="H16" s="222"/>
      <c r="I16" s="222">
        <f t="shared" si="0"/>
        <v>281572.56247499993</v>
      </c>
      <c r="J16" s="222"/>
      <c r="K16" s="222">
        <f t="shared" si="0"/>
        <v>291427.60216162488</v>
      </c>
      <c r="L16" s="222"/>
      <c r="M16" s="222">
        <f t="shared" si="0"/>
        <v>301627.5682372817</v>
      </c>
      <c r="N16" s="222"/>
      <c r="O16" s="222">
        <f t="shared" si="0"/>
        <v>312184.53312558652</v>
      </c>
      <c r="P16" s="222"/>
      <c r="Q16" s="222">
        <f t="shared" si="0"/>
        <v>323110.99178498203</v>
      </c>
      <c r="R16" s="222"/>
      <c r="S16" s="222">
        <f t="shared" si="0"/>
        <v>334419.8764974564</v>
      </c>
      <c r="T16" s="222"/>
      <c r="U16" s="222">
        <f t="shared" si="0"/>
        <v>346124.57217486732</v>
      </c>
      <c r="V16" s="222"/>
      <c r="W16" s="222">
        <f t="shared" si="0"/>
        <v>358238.93220098765</v>
      </c>
      <c r="X16" s="222"/>
      <c r="Y16" s="222">
        <f t="shared" si="0"/>
        <v>370777.29482802219</v>
      </c>
      <c r="Z16" s="222"/>
      <c r="AA16" s="222">
        <f t="shared" si="0"/>
        <v>383754.50014700292</v>
      </c>
      <c r="AB16" s="222"/>
      <c r="AC16" s="222">
        <f t="shared" si="0"/>
        <v>397185.90765214799</v>
      </c>
      <c r="AD16" s="222"/>
      <c r="AE16" s="222">
        <f t="shared" si="0"/>
        <v>411087.41441997315</v>
      </c>
      <c r="AF16" s="222"/>
      <c r="AG16" s="222">
        <f t="shared" si="0"/>
        <v>425475.47392467217</v>
      </c>
    </row>
    <row r="17" spans="1:33" s="210" customFormat="1" ht="14.25">
      <c r="A17" s="210" t="s">
        <v>560</v>
      </c>
      <c r="C17" s="233"/>
      <c r="E17" s="222">
        <f>Application!W855</f>
        <v>315552</v>
      </c>
      <c r="F17" s="222"/>
      <c r="G17" s="222">
        <f t="shared" si="0"/>
        <v>326596.31999999995</v>
      </c>
      <c r="H17" s="222"/>
      <c r="I17" s="222">
        <f t="shared" si="0"/>
        <v>338027.19119999994</v>
      </c>
      <c r="J17" s="222"/>
      <c r="K17" s="222">
        <f t="shared" si="0"/>
        <v>349858.14289199992</v>
      </c>
      <c r="L17" s="222"/>
      <c r="M17" s="222">
        <f t="shared" si="0"/>
        <v>362103.17789321986</v>
      </c>
      <c r="N17" s="222"/>
      <c r="O17" s="222">
        <f t="shared" si="0"/>
        <v>374776.78911948251</v>
      </c>
      <c r="P17" s="222"/>
      <c r="Q17" s="222">
        <f t="shared" si="0"/>
        <v>387893.97673866438</v>
      </c>
      <c r="R17" s="222"/>
      <c r="S17" s="222">
        <f t="shared" si="0"/>
        <v>401470.26592451759</v>
      </c>
      <c r="T17" s="222"/>
      <c r="U17" s="222">
        <f t="shared" si="0"/>
        <v>415521.72523187567</v>
      </c>
      <c r="V17" s="222"/>
      <c r="W17" s="222">
        <f t="shared" si="0"/>
        <v>430064.98561499128</v>
      </c>
      <c r="X17" s="222"/>
      <c r="Y17" s="222">
        <f t="shared" si="0"/>
        <v>445117.26011151593</v>
      </c>
      <c r="Z17" s="222"/>
      <c r="AA17" s="222">
        <f t="shared" si="0"/>
        <v>460696.36421541893</v>
      </c>
      <c r="AB17" s="222"/>
      <c r="AC17" s="222">
        <f t="shared" si="0"/>
        <v>476820.73696295853</v>
      </c>
      <c r="AD17" s="222"/>
      <c r="AE17" s="222">
        <f t="shared" si="0"/>
        <v>493509.46275666205</v>
      </c>
      <c r="AF17" s="222"/>
      <c r="AG17" s="222">
        <f t="shared" si="0"/>
        <v>510782.29395314516</v>
      </c>
    </row>
    <row r="18" spans="1:33" s="210" customFormat="1" ht="14.25">
      <c r="A18" s="210" t="s">
        <v>841</v>
      </c>
      <c r="C18" s="233"/>
      <c r="E18" s="222">
        <f>Application!W862</f>
        <v>464000</v>
      </c>
      <c r="F18" s="222"/>
      <c r="G18" s="222">
        <f t="shared" si="0"/>
        <v>480239.99999999994</v>
      </c>
      <c r="H18" s="222"/>
      <c r="I18" s="222">
        <f t="shared" si="0"/>
        <v>497048.39999999991</v>
      </c>
      <c r="J18" s="222"/>
      <c r="K18" s="222">
        <f t="shared" si="0"/>
        <v>514445.09399999987</v>
      </c>
      <c r="L18" s="222"/>
      <c r="M18" s="222">
        <f t="shared" si="0"/>
        <v>532450.67228999978</v>
      </c>
      <c r="N18" s="222"/>
      <c r="O18" s="222">
        <f t="shared" si="0"/>
        <v>551086.44582014973</v>
      </c>
      <c r="P18" s="222"/>
      <c r="Q18" s="222">
        <f t="shared" si="0"/>
        <v>570374.47142385493</v>
      </c>
      <c r="R18" s="222"/>
      <c r="S18" s="222">
        <f t="shared" si="0"/>
        <v>590337.57792368985</v>
      </c>
      <c r="T18" s="222"/>
      <c r="U18" s="222">
        <f t="shared" si="0"/>
        <v>610999.393151019</v>
      </c>
      <c r="V18" s="222"/>
      <c r="W18" s="222">
        <f t="shared" si="0"/>
        <v>632384.37191130465</v>
      </c>
      <c r="X18" s="222"/>
      <c r="Y18" s="222">
        <f t="shared" si="0"/>
        <v>654517.82492820022</v>
      </c>
      <c r="Z18" s="222"/>
      <c r="AA18" s="222">
        <f t="shared" si="0"/>
        <v>677425.94880068721</v>
      </c>
      <c r="AB18" s="222"/>
      <c r="AC18" s="222">
        <f t="shared" si="0"/>
        <v>701135.8570087112</v>
      </c>
      <c r="AD18" s="222"/>
      <c r="AE18" s="222">
        <f t="shared" si="0"/>
        <v>725675.61200401606</v>
      </c>
      <c r="AF18" s="222"/>
      <c r="AG18" s="222">
        <f t="shared" si="0"/>
        <v>751074.25842415658</v>
      </c>
    </row>
    <row r="19" spans="1:33" s="210" customFormat="1" ht="14.25">
      <c r="A19" s="210" t="s">
        <v>155</v>
      </c>
      <c r="C19" s="233"/>
      <c r="E19" s="222">
        <f>Application!W863</f>
        <v>311400</v>
      </c>
      <c r="F19" s="222"/>
      <c r="G19" s="222">
        <f t="shared" si="0"/>
        <v>322299</v>
      </c>
      <c r="H19" s="222"/>
      <c r="I19" s="222">
        <f t="shared" si="0"/>
        <v>333579.46499999997</v>
      </c>
      <c r="J19" s="222"/>
      <c r="K19" s="222">
        <f t="shared" si="0"/>
        <v>345254.74627499992</v>
      </c>
      <c r="L19" s="222"/>
      <c r="M19" s="222">
        <f t="shared" si="0"/>
        <v>357338.6623946249</v>
      </c>
      <c r="N19" s="222"/>
      <c r="O19" s="222">
        <f t="shared" si="0"/>
        <v>369845.51557843672</v>
      </c>
      <c r="P19" s="222"/>
      <c r="Q19" s="222">
        <f t="shared" si="0"/>
        <v>382790.108623682</v>
      </c>
      <c r="R19" s="222"/>
      <c r="S19" s="222">
        <f t="shared" si="0"/>
        <v>396187.76242551085</v>
      </c>
      <c r="T19" s="222"/>
      <c r="U19" s="222">
        <f t="shared" si="0"/>
        <v>410054.33411040372</v>
      </c>
      <c r="V19" s="222"/>
      <c r="W19" s="222">
        <f t="shared" si="0"/>
        <v>424406.23580426781</v>
      </c>
      <c r="X19" s="222"/>
      <c r="Y19" s="222">
        <f t="shared" si="0"/>
        <v>439260.45405741717</v>
      </c>
      <c r="Z19" s="222"/>
      <c r="AA19" s="222">
        <f t="shared" si="0"/>
        <v>454634.56994942675</v>
      </c>
      <c r="AB19" s="222"/>
      <c r="AC19" s="222">
        <f t="shared" si="0"/>
        <v>470546.77989765664</v>
      </c>
      <c r="AD19" s="222"/>
      <c r="AE19" s="222">
        <f t="shared" si="0"/>
        <v>487015.9171940746</v>
      </c>
      <c r="AF19" s="222"/>
      <c r="AG19" s="222">
        <f t="shared" si="0"/>
        <v>504061.4742958672</v>
      </c>
    </row>
    <row r="20" spans="1:33" s="210" customFormat="1" ht="14.25">
      <c r="A20" s="210" t="s">
        <v>389</v>
      </c>
      <c r="C20" s="233"/>
      <c r="E20" s="222">
        <f>Application!W872</f>
        <v>458440</v>
      </c>
      <c r="F20" s="222"/>
      <c r="G20" s="222">
        <f t="shared" si="0"/>
        <v>474485.39999999997</v>
      </c>
      <c r="H20" s="222"/>
      <c r="I20" s="222">
        <f t="shared" si="0"/>
        <v>491092.38899999991</v>
      </c>
      <c r="J20" s="222"/>
      <c r="K20" s="222">
        <f t="shared" si="0"/>
        <v>508280.62261499988</v>
      </c>
      <c r="L20" s="222"/>
      <c r="M20" s="222">
        <f t="shared" si="0"/>
        <v>526070.44440652488</v>
      </c>
      <c r="N20" s="222"/>
      <c r="O20" s="222">
        <f t="shared" si="0"/>
        <v>544482.90996075317</v>
      </c>
      <c r="P20" s="222"/>
      <c r="Q20" s="222">
        <f t="shared" si="0"/>
        <v>563539.81180937949</v>
      </c>
      <c r="R20" s="222"/>
      <c r="S20" s="222">
        <f t="shared" si="0"/>
        <v>583263.70522270771</v>
      </c>
      <c r="T20" s="222"/>
      <c r="U20" s="222">
        <f t="shared" si="0"/>
        <v>603677.93490550248</v>
      </c>
      <c r="V20" s="222"/>
      <c r="W20" s="222">
        <f t="shared" si="0"/>
        <v>624806.66262719501</v>
      </c>
      <c r="X20" s="222"/>
      <c r="Y20" s="222">
        <f t="shared" si="0"/>
        <v>646674.89581914677</v>
      </c>
      <c r="Z20" s="222"/>
      <c r="AA20" s="222">
        <f t="shared" si="0"/>
        <v>669308.51717281691</v>
      </c>
      <c r="AB20" s="222"/>
      <c r="AC20" s="222">
        <f t="shared" si="0"/>
        <v>692734.31527386548</v>
      </c>
      <c r="AD20" s="222"/>
      <c r="AE20" s="222">
        <f t="shared" si="0"/>
        <v>716980.01630845072</v>
      </c>
      <c r="AF20" s="222"/>
      <c r="AG20" s="222">
        <f t="shared" si="0"/>
        <v>742074.31687924638</v>
      </c>
    </row>
    <row r="21" spans="1:33" s="210" customFormat="1" ht="14.25">
      <c r="A21" s="226" t="s">
        <v>960</v>
      </c>
      <c r="B21" s="226"/>
      <c r="C21" s="233"/>
      <c r="E21" s="232">
        <f>Application!W879</f>
        <v>83040</v>
      </c>
      <c r="F21" s="222"/>
      <c r="G21" s="232">
        <f t="shared" si="0"/>
        <v>85946.4</v>
      </c>
      <c r="H21" s="222"/>
      <c r="I21" s="232">
        <f t="shared" si="0"/>
        <v>88954.52399999999</v>
      </c>
      <c r="J21" s="222"/>
      <c r="K21" s="232">
        <f t="shared" si="0"/>
        <v>92067.932339999985</v>
      </c>
      <c r="L21" s="222"/>
      <c r="M21" s="232">
        <f t="shared" si="0"/>
        <v>95290.309971899973</v>
      </c>
      <c r="N21" s="222"/>
      <c r="O21" s="232">
        <f t="shared" si="0"/>
        <v>98625.470820916467</v>
      </c>
      <c r="P21" s="222"/>
      <c r="Q21" s="232">
        <f t="shared" si="0"/>
        <v>102077.36229964854</v>
      </c>
      <c r="R21" s="222"/>
      <c r="S21" s="232">
        <f t="shared" si="0"/>
        <v>105650.06998013622</v>
      </c>
      <c r="T21" s="222"/>
      <c r="U21" s="232">
        <f t="shared" si="0"/>
        <v>109347.82242944097</v>
      </c>
      <c r="V21" s="222"/>
      <c r="W21" s="232">
        <f t="shared" si="0"/>
        <v>113174.99621447139</v>
      </c>
      <c r="X21" s="222"/>
      <c r="Y21" s="232">
        <f t="shared" si="0"/>
        <v>117136.12108197788</v>
      </c>
      <c r="Z21" s="222"/>
      <c r="AA21" s="232">
        <f t="shared" si="0"/>
        <v>121235.88531984709</v>
      </c>
      <c r="AB21" s="222"/>
      <c r="AC21" s="232">
        <f t="shared" si="0"/>
        <v>125479.14130604173</v>
      </c>
      <c r="AD21" s="222"/>
      <c r="AE21" s="232">
        <f t="shared" si="0"/>
        <v>129870.91125175318</v>
      </c>
      <c r="AF21" s="222"/>
      <c r="AG21" s="232">
        <f t="shared" si="0"/>
        <v>134416.39314556454</v>
      </c>
    </row>
    <row r="22" spans="1:33" s="223" customFormat="1" ht="15">
      <c r="A22" s="223" t="s">
        <v>842</v>
      </c>
      <c r="C22" s="233"/>
      <c r="E22" s="223">
        <f>SUM(E15:E21)</f>
        <v>2025083</v>
      </c>
      <c r="G22" s="223">
        <f>SUM(G15:G21)</f>
        <v>2095960.9049999998</v>
      </c>
      <c r="I22" s="223">
        <f>SUM(I15:I21)</f>
        <v>2169319.5366750001</v>
      </c>
      <c r="K22" s="223">
        <f>SUM(K15:K21)</f>
        <v>2245245.720458624</v>
      </c>
      <c r="M22" s="223">
        <f>SUM(M15:M21)</f>
        <v>2323829.3206746764</v>
      </c>
      <c r="O22" s="223">
        <f>SUM(O15:O21)</f>
        <v>2405163.3468982894</v>
      </c>
      <c r="Q22" s="223">
        <f>SUM(Q15:Q21)</f>
        <v>2489344.0640397295</v>
      </c>
      <c r="S22" s="223">
        <f>SUM(S15:S21)</f>
        <v>2576471.1062811194</v>
      </c>
      <c r="U22" s="223">
        <f>SUM(U15:U21)</f>
        <v>2666647.595000959</v>
      </c>
      <c r="W22" s="223">
        <f>SUM(W15:W21)</f>
        <v>2759980.2608259921</v>
      </c>
      <c r="Y22" s="223">
        <f>SUM(Y15:Y21)</f>
        <v>2856579.5699549019</v>
      </c>
      <c r="AA22" s="223">
        <f>SUM(AA15:AA21)</f>
        <v>2956559.8549033231</v>
      </c>
      <c r="AC22" s="223">
        <f>SUM(AC15:AC21)</f>
        <v>3060039.449824939</v>
      </c>
      <c r="AE22" s="223">
        <f>SUM(AE15:AE21)</f>
        <v>3167140.8305688114</v>
      </c>
      <c r="AG22" s="223">
        <f>SUM(AG15:AG21)</f>
        <v>3277990.7596387197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34200</v>
      </c>
      <c r="F27" s="222"/>
      <c r="G27" s="222">
        <f>E27*$C$27</f>
        <v>35397</v>
      </c>
      <c r="H27" s="222"/>
      <c r="I27" s="222">
        <f>G27*$C$27</f>
        <v>36635.894999999997</v>
      </c>
      <c r="J27" s="222"/>
      <c r="K27" s="222">
        <f>I27*$C$27</f>
        <v>37918.151324999992</v>
      </c>
      <c r="L27" s="222"/>
      <c r="M27" s="222">
        <f>K27*$C$27</f>
        <v>39245.286621374988</v>
      </c>
      <c r="N27" s="222"/>
      <c r="O27" s="222">
        <f>M27*$C$27</f>
        <v>40618.871653123111</v>
      </c>
      <c r="P27" s="222"/>
      <c r="Q27" s="222">
        <f>O27*$C$27</f>
        <v>42040.532160982417</v>
      </c>
      <c r="R27" s="222"/>
      <c r="S27" s="222">
        <f>Q27*$C$27</f>
        <v>43511.950786616799</v>
      </c>
      <c r="T27" s="222"/>
      <c r="U27" s="222">
        <f>S27*$C$27</f>
        <v>45034.869064148384</v>
      </c>
      <c r="V27" s="222"/>
      <c r="W27" s="222">
        <f>U27*$C$27</f>
        <v>46611.089481393574</v>
      </c>
      <c r="X27" s="222"/>
      <c r="Y27" s="222">
        <f>W27*$C$27</f>
        <v>48242.477613242343</v>
      </c>
      <c r="Z27" s="222"/>
      <c r="AA27" s="222">
        <f>Y27*$C$27</f>
        <v>49930.964329705821</v>
      </c>
      <c r="AB27" s="222"/>
      <c r="AC27" s="222">
        <f>AA27*$C$27</f>
        <v>51678.548081245521</v>
      </c>
      <c r="AD27" s="222"/>
      <c r="AE27" s="222">
        <f>AC27*$C$27</f>
        <v>53487.297264089109</v>
      </c>
      <c r="AF27" s="222"/>
      <c r="AG27" s="222">
        <f>AE27*$C$27</f>
        <v>55359.352668332227</v>
      </c>
    </row>
    <row r="28" spans="1:33" s="210" customFormat="1" ht="14.25">
      <c r="A28" s="210" t="s">
        <v>845</v>
      </c>
      <c r="C28" s="237"/>
      <c r="E28" s="222">
        <f>Application!AC889</f>
        <v>86500</v>
      </c>
      <c r="F28" s="222"/>
      <c r="G28" s="222">
        <f>$E$28</f>
        <v>86500</v>
      </c>
      <c r="H28" s="222"/>
      <c r="I28" s="222">
        <f>$E$28</f>
        <v>86500</v>
      </c>
      <c r="J28" s="222"/>
      <c r="K28" s="222">
        <f>$E$28</f>
        <v>86500</v>
      </c>
      <c r="L28" s="222"/>
      <c r="M28" s="222">
        <f>$E$28</f>
        <v>86500</v>
      </c>
      <c r="N28" s="222"/>
      <c r="O28" s="222">
        <f>$E$28</f>
        <v>86500</v>
      </c>
      <c r="P28" s="222"/>
      <c r="Q28" s="222">
        <f>$E$28</f>
        <v>86500</v>
      </c>
      <c r="R28" s="222"/>
      <c r="S28" s="222">
        <f>$E$28</f>
        <v>86500</v>
      </c>
      <c r="T28" s="222"/>
      <c r="U28" s="222">
        <f>$E$28</f>
        <v>86500</v>
      </c>
      <c r="V28" s="222"/>
      <c r="W28" s="222">
        <f>$E$28</f>
        <v>86500</v>
      </c>
      <c r="X28" s="222"/>
      <c r="Y28" s="222">
        <f>$E$28</f>
        <v>86500</v>
      </c>
      <c r="Z28" s="222"/>
      <c r="AA28" s="222">
        <f>$E$28</f>
        <v>86500</v>
      </c>
      <c r="AB28" s="222"/>
      <c r="AC28" s="222">
        <f>$E$28</f>
        <v>86500</v>
      </c>
      <c r="AD28" s="222"/>
      <c r="AE28" s="222">
        <f>$E$28</f>
        <v>86500</v>
      </c>
      <c r="AF28" s="222"/>
      <c r="AG28" s="222">
        <f>$E$28</f>
        <v>86500</v>
      </c>
    </row>
    <row r="29" spans="1:33" s="210" customFormat="1" ht="14.25">
      <c r="A29" s="210" t="s">
        <v>1678</v>
      </c>
      <c r="C29" s="237"/>
      <c r="E29" s="222">
        <f>Application!AC890</f>
        <v>15581.52</v>
      </c>
      <c r="F29" s="222"/>
      <c r="G29" s="222">
        <f>$E$29</f>
        <v>15581.52</v>
      </c>
      <c r="H29" s="222"/>
      <c r="I29" s="222">
        <f>$E$29</f>
        <v>15581.52</v>
      </c>
      <c r="J29" s="222"/>
      <c r="K29" s="222">
        <f>$E$29</f>
        <v>15581.52</v>
      </c>
      <c r="L29" s="222"/>
      <c r="M29" s="222">
        <f>$E$29</f>
        <v>15581.52</v>
      </c>
      <c r="N29" s="222"/>
      <c r="O29" s="222">
        <f>$E$29</f>
        <v>15581.52</v>
      </c>
      <c r="P29" s="222"/>
      <c r="Q29" s="222">
        <f>$E$29</f>
        <v>15581.52</v>
      </c>
      <c r="R29" s="222"/>
      <c r="S29" s="222">
        <f>$E$29</f>
        <v>15581.52</v>
      </c>
      <c r="T29" s="222"/>
      <c r="U29" s="222">
        <f>$E$29</f>
        <v>15581.52</v>
      </c>
      <c r="V29" s="222"/>
      <c r="W29" s="222">
        <f>$E$29</f>
        <v>15581.52</v>
      </c>
      <c r="X29" s="222"/>
      <c r="Y29" s="222">
        <f>$E$29</f>
        <v>15581.52</v>
      </c>
      <c r="Z29" s="222"/>
      <c r="AA29" s="222">
        <f>$E$29</f>
        <v>15581.52</v>
      </c>
      <c r="AB29" s="222"/>
      <c r="AC29" s="222">
        <f>$E$29</f>
        <v>15581.52</v>
      </c>
      <c r="AD29" s="222"/>
      <c r="AE29" s="222">
        <f>$E$29</f>
        <v>15581.52</v>
      </c>
      <c r="AF29" s="222"/>
      <c r="AG29" s="222">
        <f>$E$29</f>
        <v>15581.52</v>
      </c>
    </row>
    <row r="30" spans="1:33" s="210" customFormat="1" ht="14.25">
      <c r="A30" s="210" t="s">
        <v>843</v>
      </c>
      <c r="C30" s="237">
        <v>1.02</v>
      </c>
      <c r="E30" s="222">
        <f>Application!AC891</f>
        <v>7674.4800000000005</v>
      </c>
      <c r="F30" s="222"/>
      <c r="G30" s="222">
        <f>E30*$C$30</f>
        <v>7827.9696000000004</v>
      </c>
      <c r="H30" s="222"/>
      <c r="I30" s="222">
        <f>G30*$C$30</f>
        <v>7984.5289920000005</v>
      </c>
      <c r="J30" s="222"/>
      <c r="K30" s="222">
        <f>I30*$C$30</f>
        <v>8144.2195718400008</v>
      </c>
      <c r="L30" s="222"/>
      <c r="M30" s="222">
        <f>K30*$C$30</f>
        <v>8307.1039632768006</v>
      </c>
      <c r="N30" s="222"/>
      <c r="O30" s="222">
        <f>M30*$C$30</f>
        <v>8473.246042542336</v>
      </c>
      <c r="P30" s="222"/>
      <c r="Q30" s="222">
        <f>O30*$C$30</f>
        <v>8642.7109633931832</v>
      </c>
      <c r="R30" s="222"/>
      <c r="S30" s="222">
        <f>Q30*$C$30</f>
        <v>8815.5651826610465</v>
      </c>
      <c r="T30" s="222"/>
      <c r="U30" s="222">
        <f>S30*$C$30</f>
        <v>8991.8764863142678</v>
      </c>
      <c r="V30" s="222"/>
      <c r="W30" s="222">
        <f>U30*$C$30</f>
        <v>9171.7140160405525</v>
      </c>
      <c r="X30" s="222"/>
      <c r="Y30" s="222">
        <f>W30*$C$30</f>
        <v>9355.1482963613635</v>
      </c>
      <c r="Z30" s="222"/>
      <c r="AA30" s="222">
        <f>Y30*$C$30</f>
        <v>9542.2512622885915</v>
      </c>
      <c r="AB30" s="222"/>
      <c r="AC30" s="222">
        <f>AA30*$C$30</f>
        <v>9733.096287534363</v>
      </c>
      <c r="AD30" s="222"/>
      <c r="AE30" s="222">
        <f>AC30*$C$30</f>
        <v>9927.7582132850512</v>
      </c>
      <c r="AF30" s="222"/>
      <c r="AG30" s="222">
        <f>AE30*$C$30</f>
        <v>10126.313377550752</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2169039</v>
      </c>
      <c r="G35" s="223">
        <f>SUM(G22:G33)</f>
        <v>2241267.3945999998</v>
      </c>
      <c r="I35" s="223">
        <f>SUM(I22:I33)</f>
        <v>2316021.4806670002</v>
      </c>
      <c r="K35" s="223">
        <f>SUM(K22:K33)</f>
        <v>2393389.611355464</v>
      </c>
      <c r="M35" s="223">
        <f>SUM(M22:M33)</f>
        <v>2473463.2312593283</v>
      </c>
      <c r="O35" s="223">
        <f>SUM(O22:O33)</f>
        <v>2556336.9845939549</v>
      </c>
      <c r="Q35" s="223">
        <f>SUM(Q22:Q33)</f>
        <v>2642108.8271641051</v>
      </c>
      <c r="S35" s="223">
        <f>SUM(S22:S33)</f>
        <v>2730880.1422503972</v>
      </c>
      <c r="U35" s="223">
        <f>SUM(U22:U33)</f>
        <v>2822755.860551422</v>
      </c>
      <c r="W35" s="223">
        <f>SUM(W22:W33)</f>
        <v>2917844.5843234258</v>
      </c>
      <c r="Y35" s="223">
        <f>SUM(Y22:Y33)</f>
        <v>3016258.7158645056</v>
      </c>
      <c r="AA35" s="223">
        <f>SUM(AA22:AA33)</f>
        <v>3118114.5904953177</v>
      </c>
      <c r="AC35" s="223">
        <f>SUM(AC22:AC33)</f>
        <v>3223532.6141937193</v>
      </c>
      <c r="AE35" s="223">
        <f>SUM(AE22:AE33)</f>
        <v>3332637.4060461856</v>
      </c>
      <c r="AG35" s="223">
        <f>SUM(AG22:AG33)</f>
        <v>3445557.9456846029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4402423.5023999996</v>
      </c>
      <c r="G37" s="223">
        <f>G11-G35</f>
        <v>4494481.6703599989</v>
      </c>
      <c r="I37" s="223">
        <f>I11-I35</f>
        <v>4588121.3109169975</v>
      </c>
      <c r="K37" s="223">
        <f>K11-K35</f>
        <v>4683356.7500181329</v>
      </c>
      <c r="M37" s="223">
        <f>M11-M35</f>
        <v>4780201.7891486092</v>
      </c>
      <c r="O37" s="223">
        <f>O11-O35</f>
        <v>4878669.6613241807</v>
      </c>
      <c r="Q37" s="223">
        <f>Q11-Q35</f>
        <v>4978772.9849019833</v>
      </c>
      <c r="S37" s="223">
        <f>S11-S35</f>
        <v>5080523.7151173418</v>
      </c>
      <c r="U37" s="223">
        <f>U11-U35</f>
        <v>5183933.0932505112</v>
      </c>
      <c r="W37" s="223">
        <f>W11-W35</f>
        <v>5289011.5933235539</v>
      </c>
      <c r="Y37" s="223">
        <f>Y11-Y35</f>
        <v>5395768.8662236482</v>
      </c>
      <c r="AA37" s="223">
        <f>AA11-AA35</f>
        <v>5504213.6811450385</v>
      </c>
      <c r="AC37" s="223">
        <f>AC11-AC35</f>
        <v>5614353.8642376475</v>
      </c>
      <c r="AE37" s="223">
        <f>AE11-AE35</f>
        <v>5726196.2343459632</v>
      </c>
      <c r="AG37" s="223">
        <f>AG11-AG35</f>
        <v>5839746.5357173495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 (Permanent Loan)</v>
      </c>
      <c r="B40" s="226"/>
      <c r="C40" s="220"/>
      <c r="E40" s="222">
        <f>Application!AF627</f>
        <v>3817364</v>
      </c>
      <c r="F40" s="222"/>
      <c r="G40" s="222">
        <f>$E$40</f>
        <v>3817364</v>
      </c>
      <c r="H40" s="222"/>
      <c r="I40" s="222">
        <f>$E$40</f>
        <v>3817364</v>
      </c>
      <c r="J40" s="222"/>
      <c r="K40" s="222">
        <f>$E$40</f>
        <v>3817364</v>
      </c>
      <c r="L40" s="222"/>
      <c r="M40" s="222">
        <f>$E$40</f>
        <v>3817364</v>
      </c>
      <c r="N40" s="222"/>
      <c r="O40" s="222">
        <f>$E$40</f>
        <v>3817364</v>
      </c>
      <c r="P40" s="222"/>
      <c r="Q40" s="222">
        <f>$E$40</f>
        <v>3817364</v>
      </c>
      <c r="R40" s="222"/>
      <c r="S40" s="222">
        <f>$E$40</f>
        <v>3817364</v>
      </c>
      <c r="T40" s="222"/>
      <c r="U40" s="222">
        <f>$E$40</f>
        <v>3817364</v>
      </c>
      <c r="V40" s="222"/>
      <c r="W40" s="222">
        <f>$E$40</f>
        <v>3817364</v>
      </c>
      <c r="X40" s="222"/>
      <c r="Y40" s="222">
        <f>$E$40</f>
        <v>3817364</v>
      </c>
      <c r="Z40" s="222"/>
      <c r="AA40" s="222">
        <f>$E$40</f>
        <v>3817364</v>
      </c>
      <c r="AB40" s="222"/>
      <c r="AC40" s="222">
        <f>$E$40</f>
        <v>3817364</v>
      </c>
      <c r="AD40" s="222"/>
      <c r="AE40" s="222">
        <f>$E$40</f>
        <v>3817364</v>
      </c>
      <c r="AF40" s="222"/>
      <c r="AG40" s="222">
        <f>$E$40</f>
        <v>3817364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3817364</v>
      </c>
      <c r="G43" s="223">
        <f>SUM(G40:G42)</f>
        <v>3817364</v>
      </c>
      <c r="I43" s="223">
        <f>SUM(I40:I42)</f>
        <v>3817364</v>
      </c>
      <c r="K43" s="223">
        <f>SUM(K40:K42)</f>
        <v>3817364</v>
      </c>
      <c r="M43" s="223">
        <f>SUM(M40:M42)</f>
        <v>3817364</v>
      </c>
      <c r="O43" s="223">
        <f>SUM(O40:O42)</f>
        <v>3817364</v>
      </c>
      <c r="Q43" s="223">
        <f>SUM(Q40:Q42)</f>
        <v>3817364</v>
      </c>
      <c r="S43" s="223">
        <f>SUM(S40:S42)</f>
        <v>3817364</v>
      </c>
      <c r="U43" s="223">
        <f>SUM(U40:U42)</f>
        <v>3817364</v>
      </c>
      <c r="W43" s="223">
        <f>SUM(W40:W42)</f>
        <v>3817364</v>
      </c>
      <c r="Y43" s="223">
        <f>SUM(Y40:Y42)</f>
        <v>3817364</v>
      </c>
      <c r="AA43" s="223">
        <f>SUM(AA40:AA42)</f>
        <v>3817364</v>
      </c>
      <c r="AC43" s="223">
        <f>SUM(AC40:AC42)</f>
        <v>3817364</v>
      </c>
      <c r="AE43" s="223">
        <f>SUM(AE40:AE42)</f>
        <v>3817364</v>
      </c>
      <c r="AG43" s="223">
        <f>SUM(AG40:AG42)</f>
        <v>3817364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585059.50239999965</v>
      </c>
      <c r="G45" s="223">
        <f>G37-G43</f>
        <v>677117.67035999894</v>
      </c>
      <c r="I45" s="223">
        <f>I37-I43</f>
        <v>770757.31091699749</v>
      </c>
      <c r="K45" s="223">
        <f>K37-K43</f>
        <v>865992.75001813285</v>
      </c>
      <c r="M45" s="223">
        <f>M37-M43</f>
        <v>962837.78914860915</v>
      </c>
      <c r="O45" s="223">
        <f>O37-O43</f>
        <v>1061305.6613241807</v>
      </c>
      <c r="Q45" s="223">
        <f>Q37-Q43</f>
        <v>1161408.9849019833</v>
      </c>
      <c r="S45" s="223">
        <f>S37-S43</f>
        <v>1263159.7151173418</v>
      </c>
      <c r="U45" s="223">
        <f>U37-U43</f>
        <v>1366569.0932505112</v>
      </c>
      <c r="W45" s="223">
        <f>W37-W43</f>
        <v>1471647.5933235539</v>
      </c>
      <c r="Y45" s="223">
        <f>Y37-Y43</f>
        <v>1578404.8662236482</v>
      </c>
      <c r="AA45" s="223">
        <f>AA37-AA43</f>
        <v>1686849.6811450385</v>
      </c>
      <c r="AC45" s="223">
        <f>AC37-AC43</f>
        <v>1796989.8642376475</v>
      </c>
      <c r="AE45" s="223">
        <f>AE37-AE43</f>
        <v>1908832.2343459632</v>
      </c>
      <c r="AG45" s="223">
        <f>AG37-AG43</f>
        <v>2022382.5357173495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8.4578817436302883E-2</v>
      </c>
      <c r="G47" s="227">
        <f>G45/(G4+G6+G8)</f>
        <v>9.5499666130424515E-2</v>
      </c>
      <c r="I47" s="227">
        <f>I45/(I4+I6+I8)</f>
        <v>0.10605508424068334</v>
      </c>
      <c r="K47" s="227">
        <f>K45/(K4+K6+K8)</f>
        <v>0.11625301664161118</v>
      </c>
      <c r="M47" s="227">
        <f>M45/(M4+M6+M8)</f>
        <v>0.12610120499329833</v>
      </c>
      <c r="O47" s="227">
        <f>O45/(O4+O6+O8)</f>
        <v>0.13560719260573922</v>
      </c>
      <c r="Q47" s="227">
        <f>Q45/(Q4+Q6+Q8)</f>
        <v>0.14477832918363542</v>
      </c>
      <c r="S47" s="227">
        <f>S45/(S4+S6+S8)</f>
        <v>0.15362177545456565</v>
      </c>
      <c r="U47" s="227">
        <f>U45/(U4+U6+U8)</f>
        <v>0.16214450768335684</v>
      </c>
      <c r="W47" s="227">
        <f>W45/(W4+W6+W8)</f>
        <v>0.17035332207542364</v>
      </c>
      <c r="Y47" s="227">
        <f>Y45/(Y4+Y6+Y8)</f>
        <v>0.17825483907177614</v>
      </c>
      <c r="AA47" s="227">
        <f>AA45/(AA4+AA6+AA8)</f>
        <v>0.18585550753832725</v>
      </c>
      <c r="AC47" s="227">
        <f>AC45/(AC4+AC6+AC8)</f>
        <v>0.19316160885207082</v>
      </c>
      <c r="AE47" s="227">
        <f>AE45/(AE4+AE6+AE8)</f>
        <v>0.20017926088663274</v>
      </c>
      <c r="AG47" s="227">
        <f>AG45/(AG4+AG6+AG8)</f>
        <v>0.20691442189964651</v>
      </c>
    </row>
    <row r="48" spans="1:33" s="227" customFormat="1" ht="14.25">
      <c r="A48" s="227" t="s">
        <v>851</v>
      </c>
      <c r="C48" s="220"/>
      <c r="E48" s="227">
        <f>E45/E43</f>
        <v>0.15326269708626153</v>
      </c>
      <c r="G48" s="227">
        <f>G45/G43</f>
        <v>0.17737833498717936</v>
      </c>
      <c r="I48" s="227">
        <f>I45/I43</f>
        <v>0.20190825682774749</v>
      </c>
      <c r="K48" s="227">
        <f>K45/K43</f>
        <v>0.22685621544556214</v>
      </c>
      <c r="M48" s="227">
        <f>M45/M43</f>
        <v>0.25222582628971435</v>
      </c>
      <c r="O48" s="227">
        <f>O45/O43</f>
        <v>0.27802055589254276</v>
      </c>
      <c r="Q48" s="227">
        <f>Q45/Q43</f>
        <v>0.30424370976987869</v>
      </c>
      <c r="S48" s="227">
        <f>S45/S43</f>
        <v>0.33089841972558598</v>
      </c>
      <c r="U48" s="227">
        <f>U45/U43</f>
        <v>0.35798763053523613</v>
      </c>
      <c r="W48" s="227">
        <f>W45/W43</f>
        <v>0.38551408598277603</v>
      </c>
      <c r="Y48" s="227">
        <f>Y45/Y43</f>
        <v>0.41348031422302095</v>
      </c>
      <c r="AA48" s="227">
        <f>AA45/AA43</f>
        <v>0.44188861244173688</v>
      </c>
      <c r="AC48" s="227">
        <f>AC45/AC43</f>
        <v>0.4707410307839775</v>
      </c>
      <c r="AE48" s="227">
        <f>AE45/AE43</f>
        <v>0.50003935552018708</v>
      </c>
      <c r="AG48" s="227">
        <f>AG45/AG43</f>
        <v>0.52978509141841057</v>
      </c>
    </row>
    <row r="49" spans="1:34" s="228" customFormat="1" ht="14.25">
      <c r="A49" s="228" t="s">
        <v>849</v>
      </c>
      <c r="C49" s="229"/>
      <c r="E49" s="228">
        <f>E37/E43</f>
        <v>1.1532626970862616</v>
      </c>
      <c r="G49" s="228">
        <f>G37/G43</f>
        <v>1.1773783349871794</v>
      </c>
      <c r="I49" s="228">
        <f>I37/I43</f>
        <v>1.2019082568277475</v>
      </c>
      <c r="K49" s="228">
        <f>K37/K43</f>
        <v>1.2268562154455622</v>
      </c>
      <c r="M49" s="228">
        <f>M37/M43</f>
        <v>1.2522258262897143</v>
      </c>
      <c r="O49" s="228">
        <f>O37/O43</f>
        <v>1.2780205558925428</v>
      </c>
      <c r="Q49" s="228">
        <f>Q37/Q43</f>
        <v>1.3042437097698787</v>
      </c>
      <c r="S49" s="228">
        <f>S37/S43</f>
        <v>1.330898419725586</v>
      </c>
      <c r="U49" s="228">
        <f>U37/U43</f>
        <v>1.3579876305352361</v>
      </c>
      <c r="W49" s="228">
        <f>W37/W43</f>
        <v>1.3855140859827761</v>
      </c>
      <c r="Y49" s="228">
        <f>Y37/Y43</f>
        <v>1.413480314223021</v>
      </c>
      <c r="AA49" s="228">
        <f>AA37/AA43</f>
        <v>1.4418886124417369</v>
      </c>
      <c r="AC49" s="228">
        <f>AC37/AC43</f>
        <v>1.4707410307839774</v>
      </c>
      <c r="AE49" s="228">
        <f>AE37/AE43</f>
        <v>1.500039355520187</v>
      </c>
      <c r="AG49" s="228">
        <f>AG37/AG43</f>
        <v>1.5297850914184106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585059.50239999965</v>
      </c>
      <c r="G60" s="962">
        <f>G45-G58</f>
        <v>677117.67035999894</v>
      </c>
      <c r="I60" s="962">
        <f>I45-I58</f>
        <v>770757.31091699749</v>
      </c>
      <c r="K60" s="962">
        <f>K45-K58</f>
        <v>865992.75001813285</v>
      </c>
      <c r="M60" s="962">
        <f>M45-M58</f>
        <v>962837.78914860915</v>
      </c>
      <c r="O60" s="962">
        <f>O45-O58</f>
        <v>1061305.6613241807</v>
      </c>
      <c r="Q60" s="962">
        <f>Q45-Q58</f>
        <v>1161408.9849019833</v>
      </c>
      <c r="S60" s="962">
        <f>S45-S58</f>
        <v>1263159.7151173418</v>
      </c>
      <c r="U60" s="962">
        <f>U45-U58</f>
        <v>1366569.0932505112</v>
      </c>
      <c r="W60" s="962">
        <f>W45-W58</f>
        <v>1471647.5933235539</v>
      </c>
      <c r="Y60" s="962">
        <f>Y45-Y58</f>
        <v>1578404.8662236482</v>
      </c>
      <c r="AA60" s="962">
        <f>AA45-AA58</f>
        <v>1686849.6811450385</v>
      </c>
      <c r="AC60" s="962">
        <f>AC45-AC58</f>
        <v>1796989.8642376475</v>
      </c>
      <c r="AE60" s="962">
        <f>AE45-AE58</f>
        <v>1908832.2343459632</v>
      </c>
      <c r="AG60" s="962">
        <f>AG45-AG58</f>
        <v>2022382.5357173495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585059.50239999965</v>
      </c>
      <c r="G62" s="962">
        <f>G60*$C$62</f>
        <v>677117.67035999894</v>
      </c>
      <c r="I62" s="962">
        <f>I60*$C$62</f>
        <v>770757.31091699749</v>
      </c>
      <c r="K62" s="962">
        <f>K60*$C$62</f>
        <v>865992.75001813285</v>
      </c>
      <c r="M62" s="962">
        <f>M60*$C$62</f>
        <v>962837.78914860915</v>
      </c>
      <c r="O62" s="962">
        <f>O60*$C$62</f>
        <v>1061305.6613241807</v>
      </c>
      <c r="Q62" s="962">
        <f>Q60*$C$62</f>
        <v>1161408.9849019833</v>
      </c>
      <c r="S62" s="962">
        <f>S60*$C$62</f>
        <v>1263159.7151173418</v>
      </c>
      <c r="U62" s="962">
        <f>U60*$C$62</f>
        <v>1366569.0932505112</v>
      </c>
      <c r="W62" s="962">
        <f>W60*$C$62</f>
        <v>1471647.5933235539</v>
      </c>
      <c r="Y62" s="962">
        <f>Y60*$C$62</f>
        <v>1578404.8662236482</v>
      </c>
      <c r="AA62" s="962">
        <f>AA60*$C$62</f>
        <v>1686849.6811450385</v>
      </c>
      <c r="AC62" s="962">
        <f>AC60*$C$62</f>
        <v>1796989.8642376475</v>
      </c>
      <c r="AE62" s="962">
        <f>AE60*$C$62</f>
        <v>1908832.2343459632</v>
      </c>
      <c r="AG62" s="962">
        <f>AG60*$C$62</f>
        <v>2022382.5357173495</v>
      </c>
    </row>
    <row r="63" spans="1:34" s="962" customFormat="1">
      <c r="A63" s="2695" t="s">
        <v>1182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6" workbookViewId="0">
      <selection activeCell="C106" sqref="C10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2220000</v>
      </c>
      <c r="C5" s="266">
        <f>'Sources and Uses Budget'!$C4</f>
        <v>2220000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53325</v>
      </c>
      <c r="C7" s="266">
        <f>'Sources and Uses Budget'!$C6</f>
        <v>53325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2273325</v>
      </c>
      <c r="C9" s="270">
        <f>SUM(C5:C8)</f>
        <v>2273325</v>
      </c>
      <c r="D9" s="270">
        <f t="shared" si="0"/>
        <v>0</v>
      </c>
      <c r="E9" s="268"/>
      <c r="F9" s="267"/>
    </row>
    <row r="10" spans="1:6" s="352" customFormat="1">
      <c r="A10" s="364" t="s">
        <v>593</v>
      </c>
      <c r="B10" s="266">
        <f>'Sources and Uses Budget'!$C9</f>
        <v>150000</v>
      </c>
      <c r="C10" s="266">
        <f>'Sources and Uses Budget'!$C9</f>
        <v>150000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150000</v>
      </c>
      <c r="C12" s="270">
        <f>SUM(C10:C11)</f>
        <v>150000</v>
      </c>
      <c r="D12" s="270">
        <f t="shared" si="0"/>
        <v>0</v>
      </c>
      <c r="E12" s="268"/>
      <c r="F12" s="267"/>
    </row>
    <row r="13" spans="1:6" s="352" customFormat="1">
      <c r="A13" s="365" t="s">
        <v>84</v>
      </c>
      <c r="B13" s="270">
        <f>SUM(B9+B12)</f>
        <v>2423325</v>
      </c>
      <c r="C13" s="270">
        <f>SUM(C9+C12)</f>
        <v>2423325</v>
      </c>
      <c r="D13" s="270">
        <f t="shared" si="0"/>
        <v>0</v>
      </c>
      <c r="E13" s="268"/>
      <c r="F13" s="267"/>
    </row>
    <row r="14" spans="1:6" s="352" customFormat="1">
      <c r="A14" s="366" t="s">
        <v>901</v>
      </c>
      <c r="B14" s="266">
        <f>'Sources and Uses Budget'!$C13</f>
        <v>158400</v>
      </c>
      <c r="C14" s="266">
        <f>'Sources and Uses Budget'!$C13</f>
        <v>158400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136641</v>
      </c>
      <c r="C30" s="266">
        <f>'Sources and Uses Budget'!$C29</f>
        <v>136641</v>
      </c>
      <c r="D30" s="270">
        <f t="shared" si="0"/>
        <v>0</v>
      </c>
      <c r="E30" s="268"/>
      <c r="F30" s="267"/>
    </row>
    <row r="31" spans="1:6" s="352" customFormat="1">
      <c r="A31" s="145" t="s">
        <v>598</v>
      </c>
      <c r="B31" s="266">
        <f>'Sources and Uses Budget'!$C30</f>
        <v>61718083</v>
      </c>
      <c r="C31" s="266">
        <f>'Sources and Uses Budget'!$C30</f>
        <v>61718083</v>
      </c>
      <c r="D31" s="270">
        <f t="shared" si="0"/>
        <v>0</v>
      </c>
      <c r="E31" s="268"/>
      <c r="F31" s="267"/>
    </row>
    <row r="32" spans="1:6" s="352" customFormat="1">
      <c r="A32" s="145" t="s">
        <v>599</v>
      </c>
      <c r="B32" s="266">
        <f>'Sources and Uses Budget'!$C31</f>
        <v>2084991</v>
      </c>
      <c r="C32" s="266">
        <f>'Sources and Uses Budget'!$C31</f>
        <v>2084991</v>
      </c>
      <c r="D32" s="270">
        <f t="shared" si="0"/>
        <v>0</v>
      </c>
      <c r="E32" s="268"/>
      <c r="F32" s="267"/>
    </row>
    <row r="33" spans="1:6" s="352" customFormat="1">
      <c r="A33" s="145" t="s">
        <v>137</v>
      </c>
      <c r="B33" s="266">
        <f>'Sources and Uses Budget'!$C32</f>
        <v>2779988</v>
      </c>
      <c r="C33" s="266">
        <f>'Sources and Uses Budget'!$C32</f>
        <v>2779988</v>
      </c>
      <c r="D33" s="270">
        <f t="shared" si="0"/>
        <v>0</v>
      </c>
      <c r="E33" s="268"/>
      <c r="F33" s="267"/>
    </row>
    <row r="34" spans="1:6" s="352" customFormat="1">
      <c r="A34" s="145" t="s">
        <v>138</v>
      </c>
      <c r="B34" s="266">
        <f>'Sources and Uses Budget'!$C33</f>
        <v>2779988</v>
      </c>
      <c r="C34" s="266">
        <f>'Sources and Uses Budget'!$C33</f>
        <v>2779988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'Sources and Uses Budget'!$C36</f>
        <v>494000</v>
      </c>
      <c r="C37" s="266">
        <f>'Sources and Uses Budget'!$C36</f>
        <v>494000</v>
      </c>
      <c r="D37" s="270"/>
      <c r="E37" s="268"/>
      <c r="F37" s="267"/>
    </row>
    <row r="38" spans="1:6" s="352" customFormat="1">
      <c r="A38" s="155" t="str">
        <f>'Sources and Uses Budget'!A37</f>
        <v>Contractor Contigency</v>
      </c>
      <c r="B38" s="266">
        <f>'Sources and Uses Budget'!$C37</f>
        <v>2430739</v>
      </c>
      <c r="C38" s="266">
        <f>'Sources and Uses Budget'!$C37</f>
        <v>2430739</v>
      </c>
      <c r="D38" s="270">
        <f t="shared" si="0"/>
        <v>0</v>
      </c>
      <c r="E38" s="268"/>
      <c r="F38" s="267"/>
    </row>
    <row r="39" spans="1:6" s="352" customFormat="1">
      <c r="A39" s="271" t="s">
        <v>143</v>
      </c>
      <c r="B39" s="270">
        <f>SUM(B30:B38)</f>
        <v>72424430</v>
      </c>
      <c r="C39" s="270">
        <f>SUM(C30:C38)</f>
        <v>72424430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450000</v>
      </c>
      <c r="C41" s="266">
        <f>'Sources and Uses Budget'!$C40</f>
        <v>450000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6556864</v>
      </c>
      <c r="C46" s="266">
        <f>'Sources and Uses Budget'!$C45</f>
        <v>6556864</v>
      </c>
      <c r="D46" s="270">
        <f t="shared" si="0"/>
        <v>0</v>
      </c>
      <c r="E46" s="268"/>
      <c r="F46" s="267"/>
    </row>
    <row r="47" spans="1:6" s="352" customFormat="1">
      <c r="A47" s="145" t="s">
        <v>151</v>
      </c>
      <c r="B47" s="266">
        <f>'Sources and Uses Budget'!$C46</f>
        <v>748060</v>
      </c>
      <c r="C47" s="266">
        <f>'Sources and Uses Budget'!$C46</f>
        <v>748060</v>
      </c>
      <c r="D47" s="270">
        <f t="shared" si="0"/>
        <v>0</v>
      </c>
      <c r="E47" s="268"/>
      <c r="F47" s="267"/>
    </row>
    <row r="48" spans="1:6" s="352" customFormat="1" ht="12" customHeight="1">
      <c r="A48" s="186" t="s">
        <v>152</v>
      </c>
      <c r="B48" s="266">
        <f>'Sources and Uses Budget'!$C47</f>
        <v>7500</v>
      </c>
      <c r="C48" s="266">
        <f>'Sources and Uses Budget'!$C47</f>
        <v>7500</v>
      </c>
      <c r="D48" s="270">
        <f t="shared" si="0"/>
        <v>0</v>
      </c>
      <c r="E48" s="268"/>
      <c r="F48" s="267"/>
    </row>
    <row r="49" spans="1:6" s="352" customFormat="1">
      <c r="A49" s="145" t="s">
        <v>153</v>
      </c>
      <c r="B49" s="266">
        <f>'Sources and Uses Budget'!$C48</f>
        <v>1078956</v>
      </c>
      <c r="C49" s="266">
        <f>'Sources and Uses Budget'!$C48</f>
        <v>1078956</v>
      </c>
      <c r="D49" s="270">
        <f t="shared" si="0"/>
        <v>0</v>
      </c>
      <c r="E49" s="268"/>
      <c r="F49" s="267"/>
    </row>
    <row r="50" spans="1:6" s="352" customFormat="1">
      <c r="A50" s="145" t="s">
        <v>57</v>
      </c>
      <c r="B50" s="266">
        <f>'Sources and Uses Budget'!$C49</f>
        <v>57250</v>
      </c>
      <c r="C50" s="266">
        <f>'Sources and Uses Budget'!$C49</f>
        <v>57250</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344321</v>
      </c>
      <c r="C52" s="266">
        <f>'Sources and Uses Budget'!$C51</f>
        <v>344321</v>
      </c>
      <c r="D52" s="270">
        <f t="shared" si="0"/>
        <v>0</v>
      </c>
      <c r="E52" s="268"/>
      <c r="F52" s="267"/>
    </row>
    <row r="53" spans="1:6" s="352" customFormat="1">
      <c r="A53" s="145" t="s">
        <v>155</v>
      </c>
      <c r="B53" s="266">
        <f>'Sources and Uses Budget'!$C52</f>
        <v>851309</v>
      </c>
      <c r="C53" s="266">
        <f>'Sources and Uses Budget'!$C52</f>
        <v>851309</v>
      </c>
      <c r="D53" s="270">
        <f t="shared" si="0"/>
        <v>0</v>
      </c>
      <c r="E53" s="268"/>
      <c r="F53" s="267"/>
    </row>
    <row r="54" spans="1:6" s="352" customFormat="1">
      <c r="A54" s="155" t="str">
        <f>'Sources and Uses Budget'!A53</f>
        <v>Lender Inspections</v>
      </c>
      <c r="B54" s="266">
        <f>'Sources and Uses Budget'!$C53</f>
        <v>30000</v>
      </c>
      <c r="C54" s="266">
        <f>'Sources and Uses Budget'!$C53</f>
        <v>30000</v>
      </c>
      <c r="D54" s="270">
        <f t="shared" si="0"/>
        <v>0</v>
      </c>
      <c r="E54" s="268"/>
      <c r="F54" s="267"/>
    </row>
    <row r="55" spans="1:6" s="353" customFormat="1">
      <c r="A55" s="271" t="s">
        <v>157</v>
      </c>
      <c r="B55" s="273">
        <f>SUM(B46:B54)</f>
        <v>9699260</v>
      </c>
      <c r="C55" s="273">
        <f>SUM(C46:C54)</f>
        <v>9699260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578164</v>
      </c>
      <c r="C57" s="266">
        <f>'Sources and Uses Budget'!$C56</f>
        <v>578164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7" customHeight="1">
      <c r="A63" s="271" t="s">
        <v>301</v>
      </c>
      <c r="B63" s="270">
        <f>SUM(B57:B62)</f>
        <v>693164</v>
      </c>
      <c r="C63" s="270">
        <f>SUM(C57:C62)</f>
        <v>693164</v>
      </c>
      <c r="D63" s="270">
        <f t="shared" si="0"/>
        <v>0</v>
      </c>
      <c r="E63" s="268"/>
      <c r="F63" s="267"/>
    </row>
    <row r="64" spans="1:6" s="352" customFormat="1">
      <c r="A64" s="274" t="s">
        <v>302</v>
      </c>
      <c r="B64" s="270">
        <f>SUM(B9+B12+B14+B15+B17+B26+B28+B39+B43+B44+B55+B63)</f>
        <v>87148579</v>
      </c>
      <c r="C64" s="270">
        <f>SUM(C9+C12+C14+C15+C17+C26+C28+C39+C43+C44+C55+C63)</f>
        <v>87148579</v>
      </c>
      <c r="D64" s="270">
        <f t="shared" si="0"/>
        <v>0</v>
      </c>
      <c r="E64" s="268"/>
      <c r="F64" s="267"/>
    </row>
    <row r="65" spans="1:6" s="352" customFormat="1" ht="24">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1639</v>
      </c>
      <c r="B67" s="266">
        <f>'Sources and Uses Budget'!$C66</f>
        <v>15000</v>
      </c>
      <c r="C67" s="266">
        <f>'Sources and Uses Budget'!$C66</f>
        <v>15000</v>
      </c>
      <c r="D67" s="270"/>
      <c r="E67" s="268"/>
      <c r="F67" s="267"/>
    </row>
    <row r="68" spans="1:6" s="352" customFormat="1" ht="24">
      <c r="A68" s="283" t="s">
        <v>1640</v>
      </c>
      <c r="B68" s="266">
        <f>'Sources and Uses Budget'!$C67</f>
        <v>240000</v>
      </c>
      <c r="C68" s="266">
        <f>'Sources and Uses Budget'!$C67</f>
        <v>240000</v>
      </c>
      <c r="D68" s="270"/>
      <c r="E68" s="268"/>
      <c r="F68" s="267"/>
    </row>
    <row r="69" spans="1:6" s="352" customFormat="1">
      <c r="A69" s="283" t="s">
        <v>1646</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165000</v>
      </c>
      <c r="C70" s="266">
        <f>'Sources and Uses Budget'!$C69</f>
        <v>165000</v>
      </c>
      <c r="D70" s="270">
        <f t="shared" si="0"/>
        <v>0</v>
      </c>
      <c r="E70" s="268"/>
      <c r="F70" s="267"/>
    </row>
    <row r="71" spans="1:6" s="352" customFormat="1">
      <c r="A71" s="149" t="s">
        <v>1643</v>
      </c>
      <c r="B71" s="270">
        <f>SUM(B66:B70)</f>
        <v>545000</v>
      </c>
      <c r="C71" s="270">
        <f>SUM(C66:C70)</f>
        <v>545000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1463678</v>
      </c>
      <c r="C76" s="266">
        <f>'Sources and Uses Budget'!$C75</f>
        <v>1463678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1463678</v>
      </c>
      <c r="C78" s="270">
        <f>SUM(C73:C77)</f>
        <v>1463678</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3693035</v>
      </c>
      <c r="C80" s="266">
        <f>'Sources and Uses Budget'!$C79</f>
        <v>3693035</v>
      </c>
      <c r="D80" s="270">
        <f t="shared" si="1"/>
        <v>0</v>
      </c>
      <c r="E80" s="268"/>
      <c r="F80" s="267"/>
    </row>
    <row r="81" spans="1:6" s="352" customFormat="1">
      <c r="A81" s="510" t="s">
        <v>58</v>
      </c>
      <c r="B81" s="266">
        <f>'Sources and Uses Budget'!$C80</f>
        <v>313842</v>
      </c>
      <c r="C81" s="266">
        <f>'Sources and Uses Budget'!$C80</f>
        <v>313842</v>
      </c>
      <c r="D81" s="270">
        <f>C81-B81</f>
        <v>0</v>
      </c>
      <c r="E81" s="268"/>
      <c r="F81" s="267"/>
    </row>
    <row r="82" spans="1:6" s="352" customFormat="1">
      <c r="A82" s="271" t="s">
        <v>1207</v>
      </c>
      <c r="B82" s="270">
        <f>SUM(B80:B81)</f>
        <v>4006877</v>
      </c>
      <c r="C82" s="270">
        <f>SUM(C80:C81)</f>
        <v>4006877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239400</v>
      </c>
      <c r="C84" s="266">
        <f>'Sources and Uses Budget'!$C83</f>
        <v>239400</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692000</v>
      </c>
      <c r="C86" s="266">
        <f>'Sources and Uses Budget'!$C85</f>
        <v>692000</v>
      </c>
      <c r="D86" s="270">
        <f t="shared" si="1"/>
        <v>0</v>
      </c>
      <c r="E86" s="268"/>
      <c r="F86" s="267"/>
    </row>
    <row r="87" spans="1:6" s="352" customFormat="1">
      <c r="A87" s="269" t="s">
        <v>768</v>
      </c>
      <c r="B87" s="266">
        <f>'Sources and Uses Budget'!$C86</f>
        <v>2422000</v>
      </c>
      <c r="C87" s="266">
        <f>'Sources and Uses Budget'!$C86</f>
        <v>2422000</v>
      </c>
      <c r="D87" s="270">
        <f t="shared" si="1"/>
        <v>0</v>
      </c>
      <c r="E87" s="268"/>
      <c r="F87" s="267"/>
    </row>
    <row r="88" spans="1:6" s="352" customFormat="1">
      <c r="A88" s="269" t="s">
        <v>769</v>
      </c>
      <c r="B88" s="266">
        <f>'Sources and Uses Budget'!$C87</f>
        <v>2076000</v>
      </c>
      <c r="C88" s="266">
        <f>'Sources and Uses Budget'!$C87</f>
        <v>2076000</v>
      </c>
      <c r="D88" s="270">
        <f t="shared" si="1"/>
        <v>0</v>
      </c>
      <c r="E88" s="268"/>
      <c r="F88" s="267"/>
    </row>
    <row r="89" spans="1:6" s="352" customFormat="1">
      <c r="A89" s="269" t="s">
        <v>770</v>
      </c>
      <c r="B89" s="266">
        <f>'Sources and Uses Budget'!$C88</f>
        <v>467100</v>
      </c>
      <c r="C89" s="266">
        <f>'Sources and Uses Budget'!$C88</f>
        <v>467100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6006500</v>
      </c>
      <c r="C97" s="270">
        <f>SUM(C84:C96)</f>
        <v>6006500</v>
      </c>
      <c r="D97" s="270">
        <f t="shared" si="1"/>
        <v>0</v>
      </c>
      <c r="E97" s="268"/>
      <c r="F97" s="267"/>
    </row>
    <row r="98" spans="1:6" s="352" customFormat="1">
      <c r="A98" s="271" t="s">
        <v>774</v>
      </c>
      <c r="B98" s="270">
        <f>SUM(B64+B71+B78+B82+B97)</f>
        <v>99170634</v>
      </c>
      <c r="C98" s="270">
        <f>SUM(C64+C71+C78+C82+C97)</f>
        <v>99170634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13651104</v>
      </c>
      <c r="C100" s="266">
        <f>'Sources and Uses Budget'!$C99</f>
        <v>13651104</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13651104</v>
      </c>
      <c r="C105" s="270">
        <f>SUM(C100:C104)</f>
        <v>13651104</v>
      </c>
      <c r="D105" s="270">
        <f t="shared" si="1"/>
        <v>0</v>
      </c>
      <c r="E105" s="268"/>
      <c r="F105" s="267"/>
    </row>
    <row r="106" spans="1:6" s="352" customFormat="1">
      <c r="A106" s="271" t="s">
        <v>779</v>
      </c>
      <c r="B106" s="273">
        <f>SUM(B98+B105)</f>
        <v>112821738</v>
      </c>
      <c r="C106" s="273">
        <f>SUM(C98+C105)</f>
        <v>112821738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1866</v>
      </c>
      <c r="B1" s="1275"/>
      <c r="C1" s="1275"/>
      <c r="D1" s="1275"/>
      <c r="E1" s="1275"/>
      <c r="F1" s="1275"/>
      <c r="G1" s="1275"/>
      <c r="H1" s="1275"/>
      <c r="I1" s="1275"/>
      <c r="J1" s="1275"/>
    </row>
    <row r="2" spans="1:10" ht="15">
      <c r="A2" s="1278" t="s">
        <v>1266</v>
      </c>
      <c r="B2" s="1279"/>
      <c r="C2" s="1279"/>
      <c r="D2" s="1279"/>
      <c r="E2" s="1279"/>
      <c r="F2" s="1279"/>
      <c r="G2" s="1279"/>
      <c r="H2" s="1279"/>
      <c r="I2" s="1279"/>
      <c r="J2" s="1279"/>
    </row>
    <row r="3" spans="1:10" ht="12.75"/>
    <row r="4" spans="1:10" ht="12.75" customHeight="1">
      <c r="A4" s="1276" t="s">
        <v>2044</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75"/>
    <row r="10" spans="1:10" ht="12.75" customHeight="1">
      <c r="A10" s="1280" t="s">
        <v>1871</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1870</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1187</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1188</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1867</v>
      </c>
      <c r="B71" s="1277"/>
      <c r="C71" s="1277"/>
      <c r="D71" s="1277"/>
      <c r="E71" s="1277"/>
      <c r="F71" s="1277"/>
      <c r="G71" s="1277"/>
      <c r="H71" s="1277"/>
      <c r="I71" s="1277"/>
    </row>
    <row r="72" spans="1:9" ht="12.75">
      <c r="A72" s="1267" t="s">
        <v>2042</v>
      </c>
      <c r="B72" s="1267"/>
      <c r="C72" s="1267"/>
      <c r="D72" s="1267"/>
      <c r="E72" s="1267"/>
    </row>
    <row r="73" spans="1:9" ht="12.75">
      <c r="A73" s="1267" t="s">
        <v>2043</v>
      </c>
      <c r="B73" s="1267"/>
      <c r="C73" s="1267"/>
      <c r="D73" s="1267"/>
      <c r="E73" s="1267"/>
    </row>
    <row r="74" spans="1:9" ht="12.75">
      <c r="A74" s="1267" t="s">
        <v>1868</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22"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2454</v>
      </c>
      <c r="B2" s="1281"/>
      <c r="C2" s="1281"/>
      <c r="D2" s="1281"/>
      <c r="E2" s="1281"/>
      <c r="F2" s="1281"/>
      <c r="G2" s="1281"/>
      <c r="H2" s="1281"/>
      <c r="I2" s="1281"/>
    </row>
    <row r="3" spans="1:13">
      <c r="A3" s="1282" t="s">
        <v>2215</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2214</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1099</v>
      </c>
      <c r="B9" s="1286"/>
      <c r="C9" s="1286"/>
      <c r="D9" s="1286"/>
      <c r="E9" s="1286"/>
      <c r="F9" s="1286"/>
      <c r="G9" s="1286"/>
      <c r="H9" s="1028"/>
      <c r="I9" s="1029"/>
    </row>
    <row r="10" spans="1:13">
      <c r="A10" s="482"/>
      <c r="B10" s="482"/>
      <c r="E10" s="404"/>
    </row>
    <row r="11" spans="1:13" ht="13.7" customHeight="1">
      <c r="C11" s="482"/>
      <c r="D11" s="1305" t="s">
        <v>1098</v>
      </c>
      <c r="E11" s="1305"/>
      <c r="F11" s="1305"/>
    </row>
    <row r="12" spans="1:13">
      <c r="C12" s="482"/>
      <c r="D12" s="1305"/>
      <c r="E12" s="1305"/>
      <c r="F12" s="1305"/>
    </row>
    <row r="13" spans="1:13">
      <c r="A13" s="483"/>
      <c r="B13" s="483"/>
      <c r="C13" s="483"/>
      <c r="D13" s="1284" t="s">
        <v>1088</v>
      </c>
      <c r="E13" s="1284"/>
      <c r="F13" s="1284"/>
      <c r="M13" s="96"/>
    </row>
    <row r="14" spans="1:13">
      <c r="A14" s="483"/>
      <c r="B14" s="483"/>
      <c r="C14" s="483"/>
      <c r="D14" s="476"/>
      <c r="L14" s="312"/>
    </row>
    <row r="15" spans="1:13" ht="14.25">
      <c r="A15" s="484"/>
      <c r="B15" s="485" t="s">
        <v>307</v>
      </c>
      <c r="C15" s="483"/>
      <c r="D15" s="1283" t="s">
        <v>1919</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1917</v>
      </c>
      <c r="F18" s="445"/>
      <c r="I18" s="490"/>
    </row>
    <row r="19" spans="1:9">
      <c r="A19" s="483"/>
      <c r="B19" s="483"/>
      <c r="C19" s="483"/>
      <c r="I19" s="490"/>
    </row>
    <row r="20" spans="1:9" ht="14.25">
      <c r="A20" s="484"/>
      <c r="B20" s="485" t="s">
        <v>307</v>
      </c>
      <c r="D20" s="1283" t="s">
        <v>1920</v>
      </c>
      <c r="E20" s="1283"/>
      <c r="F20" s="1283"/>
      <c r="I20" s="490"/>
    </row>
    <row r="21" spans="1:9" ht="14.25">
      <c r="A21" s="484"/>
      <c r="D21" s="1283"/>
      <c r="E21" s="1283"/>
      <c r="F21" s="1283"/>
      <c r="I21" s="490"/>
    </row>
    <row r="22" spans="1:9" ht="14.25">
      <c r="A22" s="484"/>
      <c r="D22" s="392"/>
      <c r="E22" s="96" t="s">
        <v>1916</v>
      </c>
      <c r="F22" s="392"/>
      <c r="I22" s="490"/>
    </row>
    <row r="23" spans="1:9" ht="14.25">
      <c r="A23" s="484"/>
      <c r="B23" s="484"/>
      <c r="D23" s="446"/>
      <c r="I23" s="490"/>
    </row>
    <row r="24" spans="1:9" ht="14.25">
      <c r="A24" s="484"/>
      <c r="B24" s="485" t="s">
        <v>307</v>
      </c>
      <c r="D24" s="1283" t="s">
        <v>1089</v>
      </c>
      <c r="E24" s="1283"/>
      <c r="F24" s="1283"/>
      <c r="I24" s="490"/>
    </row>
    <row r="25" spans="1:9" ht="14.25">
      <c r="A25" s="484"/>
      <c r="B25" s="484"/>
      <c r="D25" s="1283"/>
      <c r="E25" s="1283"/>
      <c r="F25" s="1283"/>
      <c r="I25" s="490"/>
    </row>
    <row r="26" spans="1:9">
      <c r="I26" s="490"/>
    </row>
    <row r="27" spans="1:9" ht="14.25">
      <c r="A27" s="484"/>
      <c r="B27" s="485" t="s">
        <v>307</v>
      </c>
      <c r="D27" s="1283" t="s">
        <v>2045</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2046</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1212</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1090</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1091</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1092</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1093</v>
      </c>
      <c r="E56" s="1307"/>
      <c r="F56" s="1307"/>
      <c r="I56" s="490"/>
    </row>
    <row r="57" spans="1:9" ht="14.25">
      <c r="A57" s="484"/>
      <c r="B57" s="484"/>
      <c r="D57" s="1307"/>
      <c r="E57" s="1307"/>
      <c r="F57" s="1307"/>
      <c r="I57" s="490"/>
    </row>
    <row r="58" spans="1:9" ht="14.25">
      <c r="A58" s="484"/>
      <c r="B58" s="484"/>
      <c r="D58" s="392" t="s">
        <v>1918</v>
      </c>
      <c r="E58" s="445"/>
      <c r="F58" s="445"/>
      <c r="I58" s="490"/>
    </row>
    <row r="59" spans="1:9" ht="14.25">
      <c r="A59" s="484"/>
      <c r="B59" s="484"/>
      <c r="D59" s="445"/>
      <c r="E59" s="312" t="s">
        <v>1917</v>
      </c>
      <c r="F59" s="445"/>
      <c r="I59" s="490"/>
    </row>
    <row r="60" spans="1:9">
      <c r="D60" s="447"/>
      <c r="I60" s="490"/>
    </row>
    <row r="61" spans="1:9" ht="14.25">
      <c r="A61" s="484"/>
      <c r="B61" s="485" t="s">
        <v>307</v>
      </c>
      <c r="D61" s="1283" t="s">
        <v>1094</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1095</v>
      </c>
      <c r="E65" s="1283"/>
      <c r="F65" s="1283"/>
      <c r="I65" s="490"/>
    </row>
    <row r="66" spans="1:9">
      <c r="D66" s="1283"/>
      <c r="E66" s="1283"/>
      <c r="F66" s="1283"/>
      <c r="I66" s="490"/>
    </row>
    <row r="67" spans="1:9">
      <c r="I67" s="490"/>
    </row>
    <row r="68" spans="1:9" ht="14.25">
      <c r="A68" s="484"/>
      <c r="B68" s="485" t="s">
        <v>307</v>
      </c>
      <c r="D68" s="1283" t="s">
        <v>1096</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1097</v>
      </c>
      <c r="E72" s="1283"/>
      <c r="F72" s="1283"/>
      <c r="I72" s="490"/>
    </row>
    <row r="73" spans="1:9">
      <c r="D73" s="1283"/>
      <c r="E73" s="1283"/>
      <c r="F73" s="1283"/>
      <c r="I73" s="490"/>
    </row>
    <row r="74" spans="1:9" ht="14.25">
      <c r="A74" s="484"/>
      <c r="B74" s="484"/>
      <c r="D74" s="446"/>
      <c r="I74" s="490"/>
    </row>
    <row r="75" spans="1:9">
      <c r="A75" s="1286" t="s">
        <v>1042</v>
      </c>
      <c r="B75" s="1286"/>
      <c r="C75" s="1286"/>
      <c r="D75" s="1286"/>
      <c r="E75" s="1286"/>
      <c r="F75" s="1286"/>
      <c r="G75" s="1286"/>
      <c r="H75" s="1028"/>
      <c r="I75" s="1153"/>
    </row>
    <row r="76" spans="1:9">
      <c r="I76" s="490"/>
    </row>
    <row r="77" spans="1:9">
      <c r="C77" s="486"/>
      <c r="D77" s="1285" t="s">
        <v>1100</v>
      </c>
      <c r="E77" s="1285"/>
      <c r="F77" s="1285"/>
      <c r="I77" s="490"/>
    </row>
    <row r="78" spans="1:9">
      <c r="A78" s="446"/>
      <c r="B78" s="446"/>
      <c r="D78" s="1283" t="s">
        <v>1115</v>
      </c>
      <c r="E78" s="1283"/>
      <c r="F78" s="1283"/>
      <c r="I78" s="490"/>
    </row>
    <row r="79" spans="1:9">
      <c r="A79" s="446"/>
      <c r="B79" s="446"/>
      <c r="I79" s="490"/>
    </row>
    <row r="80" spans="1:9" ht="13.7" customHeight="1">
      <c r="A80" s="484"/>
      <c r="B80" s="485" t="s">
        <v>307</v>
      </c>
      <c r="D80" s="1283" t="s">
        <v>1243</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1740</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1743</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1742</v>
      </c>
      <c r="E96" s="1283"/>
      <c r="F96" s="1283"/>
      <c r="I96" s="490"/>
    </row>
    <row r="97" spans="1:9" s="987" customFormat="1" ht="14.25">
      <c r="A97" s="985"/>
      <c r="B97" s="985"/>
      <c r="C97" s="986"/>
      <c r="D97" s="1283"/>
      <c r="E97" s="1283"/>
      <c r="F97" s="1283"/>
      <c r="I97" s="1154"/>
    </row>
    <row r="98" spans="1:9" ht="14.25">
      <c r="A98" s="484"/>
      <c r="B98" s="484"/>
      <c r="D98" s="392"/>
      <c r="E98" s="312" t="s">
        <v>1921</v>
      </c>
      <c r="F98" s="445"/>
      <c r="I98" s="490"/>
    </row>
    <row r="99" spans="1:9" ht="14.25">
      <c r="A99" s="484"/>
      <c r="B99" s="484"/>
      <c r="D99" s="385"/>
      <c r="E99" s="385"/>
      <c r="F99" s="385"/>
      <c r="I99" s="490"/>
    </row>
    <row r="100" spans="1:9" ht="14.25">
      <c r="A100" s="484"/>
      <c r="B100" s="485" t="s">
        <v>307</v>
      </c>
      <c r="D100" s="1283" t="s">
        <v>1741</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1192</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1101</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2047</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1102</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1103</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1175</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2070</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2209</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1104</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2048</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2049</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1872</v>
      </c>
      <c r="C189" s="392"/>
      <c r="D189" s="392"/>
      <c r="E189" s="392"/>
      <c r="F189" s="392"/>
      <c r="I189" s="490"/>
    </row>
    <row r="190" spans="1:9" ht="12" customHeight="1">
      <c r="A190" s="482"/>
      <c r="B190" s="482"/>
      <c r="C190" s="482"/>
      <c r="I190" s="490"/>
    </row>
    <row r="191" spans="1:9">
      <c r="A191" s="1286" t="s">
        <v>1043</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1744</v>
      </c>
      <c r="E193" s="1285"/>
      <c r="F193" s="1285"/>
      <c r="I193" s="490"/>
    </row>
    <row r="194" spans="1:9">
      <c r="A194" s="404"/>
      <c r="B194" s="404"/>
      <c r="D194" s="1285"/>
      <c r="E194" s="1285"/>
      <c r="F194" s="1285"/>
      <c r="I194" s="490"/>
    </row>
    <row r="195" spans="1:9">
      <c r="A195" s="404"/>
      <c r="B195" s="404"/>
      <c r="D195" s="1289" t="s">
        <v>1193</v>
      </c>
      <c r="E195" s="1289"/>
      <c r="F195" s="1289"/>
      <c r="I195" s="490"/>
    </row>
    <row r="196" spans="1:9">
      <c r="A196" s="404"/>
      <c r="B196" s="404"/>
      <c r="D196" s="392"/>
      <c r="E196" s="392"/>
      <c r="F196" s="392"/>
      <c r="I196" s="490"/>
    </row>
    <row r="197" spans="1:9">
      <c r="A197" s="404"/>
      <c r="B197" s="485" t="s">
        <v>307</v>
      </c>
      <c r="D197" s="1300" t="s">
        <v>1745</v>
      </c>
      <c r="E197" s="1300"/>
      <c r="F197" s="1300"/>
      <c r="I197" s="490"/>
    </row>
    <row r="198" spans="1:9">
      <c r="A198" s="404"/>
      <c r="B198" s="404"/>
      <c r="D198" s="1301" t="s">
        <v>1899</v>
      </c>
      <c r="E198" s="1301"/>
      <c r="F198" s="1301"/>
      <c r="I198" s="490"/>
    </row>
    <row r="199" spans="1:9">
      <c r="A199" s="404"/>
      <c r="B199" s="404"/>
      <c r="D199" s="96" t="s">
        <v>1746</v>
      </c>
      <c r="E199" s="1302" t="s">
        <v>1922</v>
      </c>
      <c r="F199" s="1302"/>
      <c r="I199" s="490"/>
    </row>
    <row r="200" spans="1:9">
      <c r="A200" s="404"/>
      <c r="B200" s="404"/>
      <c r="D200" s="3"/>
      <c r="E200" s="3"/>
      <c r="F200" s="3"/>
      <c r="I200" s="490"/>
    </row>
    <row r="201" spans="1:9">
      <c r="A201" s="404"/>
      <c r="B201" s="485" t="s">
        <v>307</v>
      </c>
      <c r="D201" s="1301" t="s">
        <v>1747</v>
      </c>
      <c r="E201" s="1301"/>
      <c r="F201" s="1301"/>
      <c r="I201" s="490"/>
    </row>
    <row r="202" spans="1:9">
      <c r="A202" s="404"/>
      <c r="B202" s="404"/>
      <c r="D202" s="1300" t="s">
        <v>1899</v>
      </c>
      <c r="E202" s="1300"/>
      <c r="F202" s="1300"/>
      <c r="I202" s="490"/>
    </row>
    <row r="203" spans="1:9">
      <c r="A203" s="404"/>
      <c r="B203" s="404"/>
      <c r="D203" s="57" t="s">
        <v>1748</v>
      </c>
      <c r="E203" s="1302" t="s">
        <v>1923</v>
      </c>
      <c r="F203" s="1302"/>
      <c r="I203" s="490"/>
    </row>
    <row r="204" spans="1:9">
      <c r="A204" s="404"/>
      <c r="B204" s="404"/>
      <c r="D204" s="3"/>
      <c r="E204" s="3"/>
      <c r="F204" s="3"/>
      <c r="I204" s="490"/>
    </row>
    <row r="205" spans="1:9">
      <c r="A205" s="404"/>
      <c r="B205" s="485" t="s">
        <v>307</v>
      </c>
      <c r="D205" s="1301" t="s">
        <v>1749</v>
      </c>
      <c r="E205" s="1301"/>
      <c r="F205" s="1301"/>
      <c r="I205" s="490"/>
    </row>
    <row r="206" spans="1:9">
      <c r="A206" s="404"/>
      <c r="B206" s="404"/>
      <c r="D206" s="1300" t="s">
        <v>1899</v>
      </c>
      <c r="E206" s="1300"/>
      <c r="F206" s="1300"/>
      <c r="I206" s="490"/>
    </row>
    <row r="207" spans="1:9">
      <c r="A207" s="404"/>
      <c r="B207" s="404"/>
      <c r="D207" s="57" t="s">
        <v>1746</v>
      </c>
      <c r="E207" s="1302" t="s">
        <v>1924</v>
      </c>
      <c r="F207" s="1302"/>
      <c r="I207" s="490"/>
    </row>
    <row r="208" spans="1:9">
      <c r="A208" s="404"/>
      <c r="B208" s="404"/>
      <c r="D208" s="392"/>
      <c r="E208" s="392"/>
      <c r="F208" s="392"/>
      <c r="I208" s="490"/>
    </row>
    <row r="209" spans="1:9" ht="14.25" customHeight="1">
      <c r="A209" s="484"/>
      <c r="B209" s="485" t="s">
        <v>307</v>
      </c>
      <c r="D209" s="386" t="s">
        <v>1892</v>
      </c>
      <c r="E209" s="385"/>
      <c r="F209" s="385"/>
      <c r="I209" s="490"/>
    </row>
    <row r="210" spans="1:9" ht="14.25">
      <c r="A210" s="484"/>
      <c r="B210" s="484"/>
      <c r="D210" s="1300" t="s">
        <v>1899</v>
      </c>
      <c r="E210" s="1300"/>
      <c r="F210" s="1300"/>
      <c r="I210" s="490"/>
    </row>
    <row r="211" spans="1:9">
      <c r="D211" s="385"/>
      <c r="E211" s="1302" t="s">
        <v>1925</v>
      </c>
      <c r="F211" s="1302"/>
      <c r="I211" s="490"/>
    </row>
    <row r="212" spans="1:9">
      <c r="D212" s="447"/>
      <c r="I212" s="490"/>
    </row>
    <row r="213" spans="1:9">
      <c r="B213" s="485" t="s">
        <v>307</v>
      </c>
      <c r="D213" s="1301" t="s">
        <v>1750</v>
      </c>
      <c r="E213" s="1301"/>
      <c r="F213" s="1301"/>
      <c r="I213" s="490"/>
    </row>
    <row r="214" spans="1:9">
      <c r="D214" s="1300" t="s">
        <v>1899</v>
      </c>
      <c r="E214" s="1300"/>
      <c r="F214" s="1300"/>
      <c r="I214" s="490"/>
    </row>
    <row r="215" spans="1:9">
      <c r="D215" s="57" t="s">
        <v>1746</v>
      </c>
      <c r="E215" s="1302" t="s">
        <v>1926</v>
      </c>
      <c r="F215" s="1302"/>
      <c r="I215" s="490"/>
    </row>
    <row r="216" spans="1:9">
      <c r="D216" s="451"/>
      <c r="E216" s="451"/>
      <c r="F216" s="451"/>
      <c r="I216" s="490"/>
    </row>
    <row r="217" spans="1:9" ht="14.25">
      <c r="A217" s="484"/>
      <c r="B217" s="485" t="s">
        <v>307</v>
      </c>
      <c r="D217" s="1283" t="s">
        <v>1214</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1044</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1118</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307</v>
      </c>
      <c r="D228" s="1283" t="s">
        <v>1751</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1752</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1116</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2050</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1893</v>
      </c>
      <c r="I248" s="490"/>
    </row>
    <row r="249" spans="1:9" ht="14.25">
      <c r="A249" s="484"/>
      <c r="B249" s="484"/>
      <c r="D249" s="446"/>
      <c r="E249" s="446"/>
      <c r="F249" s="446"/>
      <c r="I249" s="490"/>
    </row>
    <row r="250" spans="1:9" ht="14.45" customHeight="1">
      <c r="A250" s="484"/>
      <c r="B250" s="485" t="s">
        <v>307</v>
      </c>
      <c r="D250" s="1283" t="s">
        <v>2051</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2052</v>
      </c>
      <c r="E256" s="445"/>
      <c r="F256" s="445"/>
      <c r="I256" s="490"/>
    </row>
    <row r="257" spans="1:9" ht="14.25">
      <c r="A257" s="484"/>
      <c r="B257" s="484"/>
      <c r="E257" s="1036" t="s">
        <v>1894</v>
      </c>
      <c r="I257" s="490"/>
    </row>
    <row r="258" spans="1:9">
      <c r="D258" s="446"/>
      <c r="E258" s="446"/>
      <c r="F258" s="446"/>
      <c r="I258" s="490"/>
    </row>
    <row r="259" spans="1:9" ht="14.25">
      <c r="A259" s="484"/>
      <c r="B259" s="485" t="s">
        <v>307</v>
      </c>
      <c r="D259" s="1283" t="s">
        <v>1117</v>
      </c>
      <c r="E259" s="1283"/>
      <c r="F259" s="1283"/>
      <c r="I259" s="490"/>
    </row>
    <row r="260" spans="1:9" ht="14.25">
      <c r="A260" s="484"/>
      <c r="B260" s="484"/>
      <c r="D260" s="1283"/>
      <c r="E260" s="1283"/>
      <c r="F260" s="1283"/>
      <c r="I260" s="490"/>
    </row>
    <row r="261" spans="1:9">
      <c r="D261" s="491"/>
      <c r="I261" s="490"/>
    </row>
    <row r="262" spans="1:9">
      <c r="A262" s="1286" t="s">
        <v>1045</v>
      </c>
      <c r="B262" s="1286"/>
      <c r="C262" s="1286"/>
      <c r="D262" s="1286"/>
      <c r="E262" s="1286"/>
      <c r="F262" s="1286"/>
      <c r="G262" s="1286"/>
      <c r="H262" s="1028"/>
      <c r="I262" s="1153"/>
    </row>
    <row r="263" spans="1:9">
      <c r="D263" s="491"/>
      <c r="I263" s="490"/>
    </row>
    <row r="264" spans="1:9">
      <c r="C264" s="486"/>
      <c r="D264" s="1291" t="s">
        <v>1119</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1194</v>
      </c>
      <c r="E267" s="1283"/>
      <c r="F267" s="1283"/>
      <c r="I267" s="490"/>
    </row>
    <row r="268" spans="1:9">
      <c r="D268" s="1283"/>
      <c r="E268" s="1283"/>
      <c r="F268" s="1283"/>
      <c r="I268" s="490"/>
    </row>
    <row r="269" spans="1:9">
      <c r="E269" s="1036" t="s">
        <v>1895</v>
      </c>
      <c r="I269" s="490"/>
    </row>
    <row r="270" spans="1:9">
      <c r="D270" s="446"/>
      <c r="E270" s="446"/>
      <c r="F270" s="446"/>
      <c r="I270" s="490"/>
    </row>
    <row r="271" spans="1:9" ht="14.45" customHeight="1">
      <c r="A271" s="484"/>
      <c r="B271" s="485" t="s">
        <v>307</v>
      </c>
      <c r="D271" s="1283" t="s">
        <v>2053</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1120</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1046</v>
      </c>
      <c r="B282" s="1286"/>
      <c r="C282" s="1286"/>
      <c r="D282" s="1286"/>
      <c r="E282" s="1286"/>
      <c r="F282" s="1286"/>
      <c r="G282" s="1286"/>
      <c r="H282" s="1028"/>
      <c r="I282" s="1153"/>
    </row>
    <row r="283" spans="1:9">
      <c r="D283" s="492"/>
      <c r="E283" s="446"/>
      <c r="F283" s="446"/>
      <c r="I283" s="490"/>
    </row>
    <row r="284" spans="1:9">
      <c r="C284" s="482"/>
      <c r="D284" s="1285" t="s">
        <v>1121</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1122</v>
      </c>
      <c r="E288" s="1298"/>
      <c r="F288" s="1298"/>
      <c r="I288" s="490"/>
    </row>
    <row r="289" spans="1:9">
      <c r="E289" s="446"/>
      <c r="F289" s="446"/>
      <c r="I289" s="490"/>
    </row>
    <row r="290" spans="1:9" ht="14.25">
      <c r="A290" s="484"/>
      <c r="B290" s="485" t="s">
        <v>307</v>
      </c>
      <c r="D290" s="1283" t="s">
        <v>1123</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1124</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1125</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1047</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1126</v>
      </c>
      <c r="E303" s="1284"/>
      <c r="F303" s="1284"/>
      <c r="I303" s="490"/>
    </row>
    <row r="304" spans="1:9">
      <c r="C304" s="490"/>
      <c r="D304" s="493"/>
      <c r="I304" s="490"/>
    </row>
    <row r="305" spans="1:9">
      <c r="B305" s="485" t="s">
        <v>307</v>
      </c>
      <c r="D305" s="1284" t="s">
        <v>1127</v>
      </c>
      <c r="E305" s="1284"/>
      <c r="F305" s="1284"/>
      <c r="I305" s="490"/>
    </row>
    <row r="306" spans="1:9" ht="14.25">
      <c r="A306" s="484"/>
      <c r="B306" s="484"/>
      <c r="D306" s="494"/>
      <c r="E306" s="495"/>
      <c r="F306" s="495"/>
      <c r="I306" s="490"/>
    </row>
    <row r="307" spans="1:9" ht="13.7" customHeight="1">
      <c r="B307" s="485" t="s">
        <v>307</v>
      </c>
      <c r="D307" s="1293" t="s">
        <v>1217</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1128</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1129</v>
      </c>
      <c r="E316" s="1284"/>
      <c r="F316" s="1284"/>
      <c r="I316" s="490"/>
    </row>
    <row r="317" spans="1:9">
      <c r="E317" s="446"/>
      <c r="F317" s="446"/>
      <c r="I317" s="490"/>
    </row>
    <row r="318" spans="1:9" ht="14.25">
      <c r="A318" s="484"/>
      <c r="B318" s="485" t="s">
        <v>307</v>
      </c>
      <c r="D318" s="1283" t="s">
        <v>2241</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1130</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1900</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6" t="s">
        <v>977</v>
      </c>
      <c r="E351" s="1296"/>
      <c r="F351" s="1296"/>
      <c r="G351" s="1027"/>
      <c r="H351" s="1027"/>
      <c r="I351" s="1156"/>
    </row>
    <row r="352" spans="1:9" ht="13.5" thickTop="1">
      <c r="D352" s="1294" t="s">
        <v>2242</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1898</v>
      </c>
      <c r="E355" s="1284"/>
      <c r="F355" s="1284"/>
      <c r="I355" s="490"/>
    </row>
    <row r="356" spans="1:9" ht="12.75" customHeight="1">
      <c r="D356" s="1037"/>
      <c r="E356" s="96" t="s">
        <v>1897</v>
      </c>
      <c r="F356" s="1037"/>
      <c r="I356" s="490"/>
    </row>
    <row r="357" spans="1:9">
      <c r="D357" s="1283" t="s">
        <v>1237</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2054</v>
      </c>
      <c r="E360" s="1295"/>
      <c r="F360" s="1295"/>
      <c r="I360" s="480"/>
    </row>
    <row r="361" spans="1:9">
      <c r="A361" s="476"/>
      <c r="B361" s="476"/>
      <c r="C361" s="476"/>
      <c r="D361" s="447"/>
      <c r="E361" s="447"/>
      <c r="F361" s="446"/>
      <c r="I361" s="490"/>
    </row>
    <row r="362" spans="1:9">
      <c r="A362" s="476"/>
      <c r="B362" s="485" t="s">
        <v>307</v>
      </c>
      <c r="C362" s="476"/>
      <c r="D362" s="1263" t="s">
        <v>2055</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307</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307</v>
      </c>
      <c r="C387" s="476"/>
      <c r="D387" s="1263" t="s">
        <v>1131</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1132</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1133</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1134</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1879</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1238</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2071</v>
      </c>
      <c r="E433" s="1263"/>
      <c r="F433" s="1263"/>
      <c r="I433" s="490"/>
    </row>
    <row r="434" spans="1:9">
      <c r="D434" s="446"/>
      <c r="E434" s="446"/>
      <c r="F434" s="446"/>
      <c r="I434" s="490"/>
    </row>
    <row r="435" spans="1:9" ht="14.25">
      <c r="A435" s="484"/>
      <c r="B435" s="485" t="s">
        <v>307</v>
      </c>
      <c r="C435" s="487"/>
      <c r="D435" s="1283" t="s">
        <v>2056</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1135</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1195</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1136</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1137</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1138</v>
      </c>
      <c r="E494" s="1284"/>
      <c r="F494" s="1284"/>
      <c r="I494" s="490"/>
    </row>
    <row r="495" spans="1:9">
      <c r="A495" s="446"/>
      <c r="B495" s="446"/>
      <c r="I495" s="490"/>
    </row>
    <row r="496" spans="1:9">
      <c r="A496" s="1286" t="s">
        <v>1048</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1139</v>
      </c>
      <c r="E499" s="1295"/>
      <c r="F499" s="1295"/>
      <c r="I499" s="490"/>
    </row>
    <row r="500" spans="1:9" ht="14.25">
      <c r="A500" s="484"/>
      <c r="B500" s="484"/>
      <c r="D500" s="447"/>
      <c r="I500" s="490"/>
    </row>
    <row r="501" spans="1:9" ht="14.25">
      <c r="A501" s="484"/>
      <c r="B501" s="485" t="s">
        <v>307</v>
      </c>
      <c r="D501" s="1263" t="s">
        <v>1140</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1271</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1141</v>
      </c>
      <c r="E509" s="1284"/>
      <c r="F509" s="1284"/>
      <c r="I509" s="490"/>
    </row>
    <row r="510" spans="1:9" ht="14.25">
      <c r="A510" s="484"/>
      <c r="B510" s="484"/>
      <c r="D510" s="446"/>
      <c r="I510" s="490"/>
    </row>
    <row r="511" spans="1:9" ht="14.25">
      <c r="A511" s="484"/>
      <c r="B511" s="485" t="s">
        <v>307</v>
      </c>
      <c r="D511" s="1283" t="s">
        <v>1142</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1143</v>
      </c>
      <c r="E514" s="1284"/>
      <c r="F514" s="1284"/>
      <c r="I514" s="490"/>
    </row>
    <row r="515" spans="1:9">
      <c r="D515" s="446"/>
      <c r="E515" s="446"/>
      <c r="F515" s="446"/>
      <c r="I515" s="490"/>
    </row>
    <row r="516" spans="1:9">
      <c r="B516" s="485" t="s">
        <v>307</v>
      </c>
      <c r="D516" s="1283" t="s">
        <v>2276</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1049</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63" t="s">
        <v>2057</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283" t="s">
        <v>2059</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1050</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1051</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1079</v>
      </c>
      <c r="E546" s="1284"/>
      <c r="F546" s="1284"/>
      <c r="I546" s="490"/>
    </row>
    <row r="547" spans="1:9">
      <c r="C547" s="487"/>
      <c r="D547" s="446"/>
      <c r="E547" s="446"/>
      <c r="F547" s="446"/>
      <c r="I547" s="490"/>
    </row>
    <row r="548" spans="1:9" ht="13.7" customHeight="1">
      <c r="A548" s="484"/>
      <c r="B548" s="485" t="s">
        <v>307</v>
      </c>
      <c r="C548" s="487"/>
      <c r="D548" s="1284" t="s">
        <v>883</v>
      </c>
      <c r="E548" s="1284"/>
      <c r="F548" s="1284"/>
      <c r="I548" s="490"/>
    </row>
    <row r="549" spans="1:9" ht="13.7" customHeight="1">
      <c r="A549" s="487"/>
      <c r="B549" s="487"/>
      <c r="C549" s="487"/>
      <c r="D549" s="446"/>
      <c r="I549" s="490"/>
    </row>
    <row r="550" spans="1:9" ht="14.25">
      <c r="A550" s="484"/>
      <c r="B550" s="485" t="s">
        <v>307</v>
      </c>
      <c r="C550" s="487"/>
      <c r="D550" s="1283" t="s">
        <v>1080</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1081</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1082</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1083</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2243</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1084</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1085</v>
      </c>
      <c r="E569" s="1284"/>
      <c r="F569" s="1284"/>
      <c r="I569" s="490"/>
    </row>
    <row r="570" spans="1:9">
      <c r="A570" s="490"/>
      <c r="B570" s="490"/>
      <c r="C570" s="487"/>
      <c r="D570" s="1284" t="s">
        <v>1904</v>
      </c>
      <c r="E570" s="1284"/>
      <c r="F570" s="1284"/>
      <c r="I570" s="490"/>
    </row>
    <row r="571" spans="1:9">
      <c r="A571" s="490"/>
      <c r="B571" s="490"/>
      <c r="C571" s="487"/>
      <c r="E571" s="96" t="s">
        <v>1903</v>
      </c>
      <c r="F571" s="404"/>
      <c r="I571" s="490"/>
    </row>
    <row r="572" spans="1:9" ht="14.25">
      <c r="A572" s="484"/>
      <c r="B572" s="484"/>
      <c r="C572" s="487"/>
      <c r="E572" s="446"/>
      <c r="F572" s="446"/>
      <c r="I572" s="490"/>
    </row>
    <row r="573" spans="1:9" ht="14.25">
      <c r="A573" s="484"/>
      <c r="B573" s="485" t="s">
        <v>307</v>
      </c>
      <c r="C573" s="487"/>
      <c r="D573" s="1284" t="s">
        <v>1086</v>
      </c>
      <c r="E573" s="1284"/>
      <c r="F573" s="1284"/>
      <c r="I573" s="490"/>
    </row>
    <row r="574" spans="1:9">
      <c r="C574" s="487"/>
      <c r="D574" s="1283" t="s">
        <v>1087</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2060</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1052</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1065</v>
      </c>
      <c r="E586" s="1287"/>
      <c r="F586" s="1287"/>
      <c r="I586" s="490"/>
    </row>
    <row r="587" spans="1:9">
      <c r="A587" s="402"/>
      <c r="B587" s="402"/>
      <c r="C587" s="483"/>
      <c r="D587" s="499"/>
      <c r="I587" s="490"/>
    </row>
    <row r="588" spans="1:9">
      <c r="A588" s="483"/>
      <c r="B588" s="485" t="s">
        <v>307</v>
      </c>
      <c r="D588" s="1287" t="s">
        <v>887</v>
      </c>
      <c r="E588" s="1287"/>
      <c r="F588" s="1287"/>
      <c r="I588" s="490"/>
    </row>
    <row r="589" spans="1:9">
      <c r="A589" s="490"/>
      <c r="B589" s="490"/>
      <c r="D589" s="476"/>
      <c r="I589" s="490"/>
    </row>
    <row r="590" spans="1:9">
      <c r="A590" s="490"/>
      <c r="B590" s="485" t="s">
        <v>307</v>
      </c>
      <c r="D590" s="1287" t="s">
        <v>2061</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1066</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2062</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1067</v>
      </c>
      <c r="E602" s="1287"/>
      <c r="F602" s="1287"/>
      <c r="I602" s="490"/>
    </row>
    <row r="603" spans="1:9">
      <c r="A603" s="490"/>
      <c r="B603" s="490"/>
      <c r="D603" s="1287"/>
      <c r="E603" s="1287"/>
      <c r="F603" s="1287"/>
      <c r="I603" s="490"/>
    </row>
    <row r="604" spans="1:9" ht="14.25">
      <c r="A604" s="484"/>
      <c r="B604" s="484"/>
      <c r="D604" s="499"/>
      <c r="I604" s="490"/>
    </row>
    <row r="605" spans="1:9">
      <c r="A605" s="1286" t="s">
        <v>1053</v>
      </c>
      <c r="B605" s="1286"/>
      <c r="C605" s="1286"/>
      <c r="D605" s="1286"/>
      <c r="E605" s="1286"/>
      <c r="F605" s="1286"/>
      <c r="G605" s="1286"/>
      <c r="H605" s="1028"/>
      <c r="I605" s="1153"/>
    </row>
    <row r="606" spans="1:9">
      <c r="I606" s="490"/>
    </row>
    <row r="607" spans="1:9">
      <c r="D607" s="1291" t="s">
        <v>1105</v>
      </c>
      <c r="E607" s="1291"/>
      <c r="F607" s="1291"/>
      <c r="I607" s="490"/>
    </row>
    <row r="608" spans="1:9">
      <c r="D608" s="1292" t="s">
        <v>1106</v>
      </c>
      <c r="E608" s="1292"/>
      <c r="F608" s="1292"/>
      <c r="I608" s="490"/>
    </row>
    <row r="609" spans="1:9">
      <c r="D609" s="444"/>
      <c r="I609" s="490"/>
    </row>
    <row r="610" spans="1:9" ht="14.25" customHeight="1">
      <c r="A610" s="484"/>
      <c r="B610" s="485" t="s">
        <v>307</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286" t="s">
        <v>1054</v>
      </c>
      <c r="B614" s="1286"/>
      <c r="C614" s="1286"/>
      <c r="D614" s="1286"/>
      <c r="E614" s="1286"/>
      <c r="F614" s="1286"/>
      <c r="G614" s="1286"/>
      <c r="H614" s="1028"/>
      <c r="I614" s="1153"/>
    </row>
    <row r="615" spans="1:9">
      <c r="A615" s="446"/>
      <c r="B615" s="446"/>
      <c r="I615" s="490"/>
    </row>
    <row r="616" spans="1:9">
      <c r="A616" s="482"/>
      <c r="B616" s="482"/>
      <c r="C616" s="482"/>
      <c r="D616" s="1320" t="s">
        <v>1107</v>
      </c>
      <c r="E616" s="1320"/>
      <c r="F616" s="1320"/>
      <c r="I616" s="490"/>
    </row>
    <row r="617" spans="1:9">
      <c r="A617" s="482"/>
      <c r="B617" s="482"/>
      <c r="C617" s="482"/>
      <c r="D617" s="1320"/>
      <c r="E617" s="1320"/>
      <c r="F617" s="1320"/>
      <c r="I617" s="490"/>
    </row>
    <row r="618" spans="1:9">
      <c r="C618" s="483"/>
      <c r="D618" s="1292" t="s">
        <v>1108</v>
      </c>
      <c r="E618" s="1292"/>
      <c r="F618" s="1292"/>
      <c r="I618" s="490"/>
    </row>
    <row r="619" spans="1:9">
      <c r="C619" s="483"/>
      <c r="D619" s="444"/>
      <c r="E619" s="444"/>
      <c r="F619" s="444"/>
      <c r="I619" s="490"/>
    </row>
    <row r="620" spans="1:9" ht="12.75" customHeight="1">
      <c r="A620" s="490"/>
      <c r="B620" s="485" t="s">
        <v>307</v>
      </c>
      <c r="D620" s="1308" t="s">
        <v>1109</v>
      </c>
      <c r="E620" s="1308"/>
      <c r="F620" s="1308"/>
      <c r="I620" s="490"/>
    </row>
    <row r="621" spans="1:9">
      <c r="D621" s="1308"/>
      <c r="E621" s="1308"/>
      <c r="F621" s="1308"/>
      <c r="I621" s="490"/>
    </row>
    <row r="622" spans="1:9">
      <c r="I622" s="490"/>
    </row>
    <row r="623" spans="1:9">
      <c r="B623" s="485" t="s">
        <v>307</v>
      </c>
      <c r="D623" s="1308" t="s">
        <v>1110</v>
      </c>
      <c r="E623" s="1308"/>
      <c r="F623" s="1308"/>
      <c r="I623" s="490"/>
    </row>
    <row r="624" spans="1:9">
      <c r="C624" s="500"/>
      <c r="D624" s="1308"/>
      <c r="E624" s="1308"/>
      <c r="F624" s="1308"/>
      <c r="I624" s="490"/>
    </row>
    <row r="625" spans="1:9">
      <c r="C625" s="500"/>
      <c r="I625" s="490"/>
    </row>
    <row r="626" spans="1:9">
      <c r="B626" s="485" t="s">
        <v>307</v>
      </c>
      <c r="C626" s="500"/>
      <c r="D626" s="1308" t="s">
        <v>1111</v>
      </c>
      <c r="E626" s="1308"/>
      <c r="F626" s="1308"/>
      <c r="I626" s="490"/>
    </row>
    <row r="627" spans="1:9">
      <c r="C627" s="500"/>
      <c r="D627" s="1308"/>
      <c r="E627" s="1308"/>
      <c r="F627" s="1308"/>
      <c r="I627" s="500"/>
    </row>
    <row r="628" spans="1:9">
      <c r="C628" s="500"/>
      <c r="I628" s="490"/>
    </row>
    <row r="629" spans="1:9">
      <c r="A629" s="1286" t="s">
        <v>1055</v>
      </c>
      <c r="B629" s="1286"/>
      <c r="C629" s="1286"/>
      <c r="D629" s="1286"/>
      <c r="E629" s="1286"/>
      <c r="F629" s="1286"/>
      <c r="G629" s="1286"/>
      <c r="H629" s="1028"/>
      <c r="I629" s="1153"/>
    </row>
    <row r="630" spans="1:9">
      <c r="A630" s="482"/>
      <c r="B630" s="482"/>
      <c r="C630" s="482"/>
      <c r="I630" s="490"/>
    </row>
    <row r="631" spans="1:9">
      <c r="C631" s="490"/>
      <c r="D631" s="1291" t="s">
        <v>1112</v>
      </c>
      <c r="E631" s="1291"/>
      <c r="F631" s="1291"/>
      <c r="I631" s="490"/>
    </row>
    <row r="632" spans="1:9">
      <c r="A632" s="490"/>
      <c r="B632" s="490"/>
      <c r="D632" s="404"/>
      <c r="I632" s="490"/>
    </row>
    <row r="633" spans="1:9" ht="14.25" customHeight="1">
      <c r="A633" s="484"/>
      <c r="B633" s="485" t="s">
        <v>307</v>
      </c>
      <c r="D633" s="1312" t="s">
        <v>2063</v>
      </c>
      <c r="E633" s="1312"/>
      <c r="F633" s="1312"/>
      <c r="I633" s="490"/>
    </row>
    <row r="634" spans="1:9">
      <c r="D634" s="1312"/>
      <c r="E634" s="1312"/>
      <c r="F634" s="1312"/>
      <c r="I634" s="490"/>
    </row>
    <row r="635" spans="1:9">
      <c r="D635" s="385"/>
      <c r="E635" s="1036" t="s">
        <v>1908</v>
      </c>
      <c r="F635" s="385"/>
      <c r="I635" s="490"/>
    </row>
    <row r="636" spans="1:9">
      <c r="D636" s="1283" t="s">
        <v>1907</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1113</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1223</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1114</v>
      </c>
      <c r="E646" s="1284"/>
      <c r="F646" s="1284"/>
      <c r="I646" s="490"/>
    </row>
    <row r="647" spans="1:9">
      <c r="A647" s="487"/>
      <c r="B647" s="487"/>
      <c r="C647" s="487"/>
      <c r="D647" s="446"/>
      <c r="E647" s="446"/>
      <c r="F647" s="446"/>
      <c r="I647" s="490"/>
    </row>
    <row r="648" spans="1:9">
      <c r="A648" s="1286" t="s">
        <v>1056</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1144</v>
      </c>
      <c r="E650" s="1291"/>
      <c r="F650" s="1291"/>
      <c r="I650" s="490"/>
    </row>
    <row r="651" spans="1:9">
      <c r="A651" s="483"/>
      <c r="B651" s="483"/>
      <c r="C651" s="483"/>
      <c r="D651" s="1284" t="s">
        <v>1145</v>
      </c>
      <c r="E651" s="1284"/>
      <c r="F651" s="1284"/>
      <c r="I651" s="490"/>
    </row>
    <row r="652" spans="1:9">
      <c r="A652" s="483"/>
      <c r="B652" s="483"/>
      <c r="C652" s="483"/>
      <c r="D652" s="446"/>
      <c r="E652" s="446"/>
      <c r="F652" s="446"/>
      <c r="I652" s="490"/>
    </row>
    <row r="653" spans="1:9" ht="12.75" customHeight="1">
      <c r="B653" s="485" t="s">
        <v>307</v>
      </c>
      <c r="C653" s="487"/>
      <c r="D653" s="1283" t="s">
        <v>1279</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1281</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1280</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2064</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1057</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1074</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2065</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2465</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2240</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1199</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1075</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2458</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2457</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2456</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1076</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2142</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2072</v>
      </c>
      <c r="E751" s="1321"/>
      <c r="F751" s="1321"/>
      <c r="H751" s="501"/>
      <c r="I751" s="483"/>
      <c r="J751" s="501"/>
      <c r="K751" s="501"/>
    </row>
    <row r="752" spans="1:11">
      <c r="A752" s="483"/>
      <c r="B752" s="483"/>
      <c r="C752" s="483"/>
      <c r="D752" s="341"/>
      <c r="H752" s="501"/>
      <c r="I752" s="483"/>
      <c r="J752" s="501"/>
      <c r="K752" s="501"/>
    </row>
    <row r="753" spans="1:11">
      <c r="A753" s="1290" t="s">
        <v>1058</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1068</v>
      </c>
      <c r="E755" s="1285"/>
      <c r="F755" s="1285"/>
      <c r="G755" s="501"/>
      <c r="H755" s="501"/>
      <c r="I755" s="483"/>
      <c r="J755" s="501"/>
      <c r="K755" s="501"/>
    </row>
    <row r="756" spans="1:11">
      <c r="A756" s="483"/>
      <c r="B756" s="483"/>
      <c r="C756" s="483"/>
      <c r="D756" s="1289" t="s">
        <v>1069</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1070</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1239</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1240</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1196</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1213</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1799</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1852</v>
      </c>
      <c r="E783" s="1314"/>
      <c r="F783" s="1314"/>
      <c r="G783" s="3"/>
      <c r="I783" s="490"/>
    </row>
    <row r="784" spans="1:11">
      <c r="A784" s="57"/>
      <c r="B784" s="57"/>
      <c r="C784" s="354"/>
      <c r="D784" s="1295" t="s">
        <v>1753</v>
      </c>
      <c r="E784" s="1295"/>
      <c r="F784" s="1295"/>
      <c r="G784" s="3"/>
      <c r="I784" s="490"/>
    </row>
    <row r="785" spans="1:9">
      <c r="A785" s="57"/>
      <c r="B785" s="57"/>
      <c r="C785" s="354"/>
      <c r="D785" s="447"/>
      <c r="E785" s="447"/>
      <c r="F785" s="447"/>
      <c r="G785" s="3"/>
      <c r="I785" s="490"/>
    </row>
    <row r="786" spans="1:9">
      <c r="A786" s="57"/>
      <c r="B786" s="485" t="s">
        <v>307</v>
      </c>
      <c r="C786" s="354"/>
      <c r="D786" s="1316" t="s">
        <v>1754</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1755</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1756</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1757</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1800</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1758</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1759</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1760</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1761</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1801</v>
      </c>
      <c r="E831" s="1313"/>
      <c r="F831" s="1313"/>
      <c r="G831" s="3"/>
      <c r="I831" s="490"/>
    </row>
    <row r="832" spans="1:9" ht="14.25" customHeight="1">
      <c r="A832" s="175"/>
      <c r="B832" s="175"/>
      <c r="C832" s="354"/>
      <c r="D832" s="1260" t="s">
        <v>1762</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1763</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2073</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1764</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1765</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2066</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1766</v>
      </c>
      <c r="E861" s="1260"/>
      <c r="F861" s="1260"/>
      <c r="G861" s="3"/>
      <c r="I861" s="490" t="s">
        <v>1878</v>
      </c>
    </row>
    <row r="862" spans="1:9" ht="12.75" customHeight="1">
      <c r="A862" s="175"/>
      <c r="B862" s="175"/>
      <c r="C862" s="989"/>
      <c r="D862" s="1260" t="s">
        <v>1767</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1768</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1802</v>
      </c>
      <c r="E872" s="1322"/>
      <c r="F872" s="1322"/>
      <c r="G872" s="988"/>
      <c r="I872" s="490"/>
    </row>
    <row r="873" spans="1:9" ht="12.75" customHeight="1">
      <c r="A873" s="354"/>
      <c r="B873" s="354"/>
      <c r="C873" s="174"/>
      <c r="D873" s="1317" t="s">
        <v>1770</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1771</v>
      </c>
      <c r="E875" s="1300"/>
      <c r="F875" s="1300"/>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1772</v>
      </c>
      <c r="E878" s="1310"/>
      <c r="F878" s="1310"/>
      <c r="G878" s="3"/>
      <c r="I878" s="490" t="s">
        <v>1881</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1773</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2066</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1766</v>
      </c>
      <c r="E890" s="1301"/>
      <c r="F890" s="1301"/>
      <c r="G890" s="988"/>
      <c r="I890" s="490"/>
    </row>
    <row r="891" spans="1:9" ht="12.75" customHeight="1">
      <c r="A891" s="175"/>
      <c r="B891" s="175"/>
      <c r="C891" s="354"/>
      <c r="D891" s="1301" t="s">
        <v>1767</v>
      </c>
      <c r="E891" s="1301"/>
      <c r="F891" s="1301"/>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1768</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1803</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1809</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1804</v>
      </c>
      <c r="E905" s="1325"/>
      <c r="F905" s="1325"/>
      <c r="G905" s="988"/>
      <c r="I905" s="490"/>
    </row>
    <row r="906" spans="1:9" ht="12.75" customHeight="1">
      <c r="A906" s="172"/>
      <c r="B906" s="172"/>
      <c r="C906" s="172"/>
      <c r="D906" s="1300" t="s">
        <v>1774</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1778</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1777</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1775</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1779</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1780</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2067</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2068</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1776</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1884</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2134</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1781</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1883</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1782</v>
      </c>
      <c r="E969" s="1322"/>
      <c r="F969" s="1322"/>
      <c r="G969" s="3"/>
      <c r="I969" s="490"/>
    </row>
    <row r="970" spans="1:9" ht="12.75" customHeight="1">
      <c r="A970" s="175"/>
      <c r="B970" s="485" t="s">
        <v>307</v>
      </c>
      <c r="C970" s="354"/>
      <c r="D970" s="1300" t="s">
        <v>1805</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1783</v>
      </c>
      <c r="E972" s="1322"/>
      <c r="F972" s="1322"/>
      <c r="G972"/>
      <c r="I972" s="490"/>
    </row>
    <row r="973" spans="1:9" ht="12.75" customHeight="1">
      <c r="A973" s="175"/>
      <c r="B973" s="485" t="s">
        <v>307</v>
      </c>
      <c r="C973" s="354"/>
      <c r="D973" s="1260" t="s">
        <v>2069</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1784</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1806</v>
      </c>
      <c r="E991" s="1322"/>
      <c r="F991" s="1322"/>
      <c r="G991" s="3"/>
      <c r="I991" s="490"/>
    </row>
    <row r="992" spans="1:9" ht="12.75" customHeight="1">
      <c r="A992" s="172"/>
      <c r="B992" s="172"/>
      <c r="C992" s="172"/>
      <c r="D992" s="1300" t="s">
        <v>1785</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1913</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1914</v>
      </c>
      <c r="F996" s="1038"/>
      <c r="G996"/>
      <c r="I996" s="490"/>
    </row>
    <row r="997" spans="1:9" ht="12.75" customHeight="1">
      <c r="A997" s="354"/>
      <c r="B997" s="354"/>
      <c r="C997" s="354"/>
      <c r="D997" s="1266" t="s">
        <v>1912</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1786</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2226</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1787</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1788</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1789</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1790</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1791</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1792</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1793</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1794</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1795</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1796</v>
      </c>
      <c r="E1031" s="1325"/>
      <c r="F1031" s="1325"/>
      <c r="G1031" s="3"/>
      <c r="I1031" s="490"/>
    </row>
    <row r="1032" spans="1:9" ht="12.75" customHeight="1">
      <c r="A1032" s="354"/>
      <c r="B1032" s="354"/>
      <c r="C1032" s="354"/>
      <c r="D1032" s="1323" t="s">
        <v>1797</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1811</v>
      </c>
      <c r="E1034" s="1325"/>
      <c r="F1034" s="1325"/>
      <c r="G1034" s="3"/>
      <c r="I1034" s="490"/>
    </row>
    <row r="1035" spans="1:9" ht="12.75" customHeight="1">
      <c r="A1035" s="354"/>
      <c r="B1035" s="485" t="s">
        <v>307</v>
      </c>
      <c r="C1035" s="354"/>
      <c r="D1035" s="1323" t="s">
        <v>1269</v>
      </c>
      <c r="E1035" s="1323"/>
      <c r="F1035" s="1323"/>
      <c r="G1035" s="3"/>
      <c r="I1035" s="490"/>
    </row>
    <row r="1036" spans="1:9" ht="12.75" customHeight="1">
      <c r="A1036" s="354"/>
      <c r="B1036" s="175"/>
      <c r="C1036" s="354"/>
      <c r="D1036" s="1323" t="s">
        <v>1798</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1807</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1270</v>
      </c>
      <c r="E1040" s="1330"/>
      <c r="F1040" s="1330"/>
      <c r="G1040" s="3"/>
      <c r="I1040" s="490"/>
    </row>
    <row r="1041" spans="1:9" ht="12.75" hidden="1" customHeight="1">
      <c r="A1041" s="118"/>
      <c r="B1041" s="485" t="s">
        <v>307</v>
      </c>
      <c r="D1041" s="1292" t="s">
        <v>1269</v>
      </c>
      <c r="E1041" s="1292"/>
      <c r="F1041" s="1292"/>
      <c r="G1041" s="3"/>
      <c r="I1041" s="490"/>
    </row>
    <row r="1042" spans="1:9" ht="12.75" hidden="1" customHeight="1">
      <c r="A1042" s="118"/>
      <c r="B1042" s="402"/>
      <c r="D1042" s="1292" t="s">
        <v>1808</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1064</v>
      </c>
      <c r="E1044" s="1331"/>
      <c r="F1044" s="1331"/>
      <c r="G1044" s="3"/>
      <c r="I1044" s="490"/>
    </row>
    <row r="1045" spans="1:9" ht="12.75" customHeight="1">
      <c r="A1045" s="319"/>
      <c r="B1045" s="319"/>
      <c r="C1045" s="319"/>
      <c r="D1045" s="1301" t="s">
        <v>2244</v>
      </c>
      <c r="E1045" s="1301"/>
      <c r="F1045" s="1301"/>
      <c r="G1045" s="98"/>
      <c r="I1045" s="490"/>
    </row>
    <row r="1046" spans="1:9" ht="12.75" customHeight="1">
      <c r="A1046" s="175"/>
      <c r="B1046" s="485" t="s">
        <v>307</v>
      </c>
      <c r="C1046" s="354"/>
      <c r="D1046" s="1301" t="s">
        <v>983</v>
      </c>
      <c r="E1046" s="1301"/>
      <c r="F1046" s="1301"/>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9" t="s">
        <v>1828</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327" t="s">
        <v>1812</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327" t="s">
        <v>1816</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1817</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0" t="s">
        <v>1827</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326" t="s">
        <v>1819</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6" t="s">
        <v>2277</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1829</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1927</v>
      </c>
      <c r="E1101" s="1328"/>
      <c r="F1101" s="1328"/>
      <c r="I1101" s="490"/>
    </row>
    <row r="1102" spans="1:9">
      <c r="A1102" s="402"/>
      <c r="B1102" s="402"/>
      <c r="C1102" s="402"/>
      <c r="D1102" s="1328"/>
      <c r="E1102" s="1328"/>
      <c r="F1102" s="1328"/>
      <c r="I1102" s="490"/>
    </row>
    <row r="1103" spans="1:9">
      <c r="A1103" s="402"/>
      <c r="B1103" s="402"/>
      <c r="C1103" s="402"/>
      <c r="D1103" s="1329" t="s">
        <v>2140</v>
      </c>
      <c r="E1103" s="1260"/>
      <c r="F1103" s="1260"/>
      <c r="I1103" s="490"/>
    </row>
    <row r="1104" spans="1:9">
      <c r="A1104" s="402"/>
      <c r="B1104" s="402"/>
      <c r="C1104" s="402"/>
      <c r="D1104" s="527"/>
      <c r="I1104" s="490"/>
    </row>
    <row r="1105" spans="1:9">
      <c r="A1105" s="402"/>
      <c r="B1105" s="485" t="s">
        <v>307</v>
      </c>
      <c r="C1105" s="402"/>
      <c r="D1105" s="1326" t="s">
        <v>1830</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1885</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1831</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1886</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5" zoomScaleNormal="115" workbookViewId="0">
      <selection activeCell="A20" sqref="A20:AT2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2493</v>
      </c>
      <c r="BE1" s="3"/>
      <c r="BF1" s="3"/>
    </row>
    <row r="2" spans="1:58" ht="12.95" customHeight="1">
      <c r="BD2" s="3" t="s">
        <v>2494</v>
      </c>
      <c r="BE2" s="3" t="s">
        <v>2495</v>
      </c>
      <c r="BF2" s="3" t="s">
        <v>2496</v>
      </c>
    </row>
    <row r="3" spans="1:58" ht="12.95" customHeight="1">
      <c r="BD3" s="3" t="s">
        <v>2591</v>
      </c>
      <c r="BE3" t="str">
        <f>AC220</f>
        <v>City of Los Angeles</v>
      </c>
    </row>
    <row r="4" spans="1:58" ht="12.95" customHeight="1">
      <c r="BD4" s="3" t="s">
        <v>2503</v>
      </c>
      <c r="BE4" s="1246"/>
    </row>
    <row r="5" spans="1:58" ht="12.95" customHeight="1">
      <c r="BD5" s="3" t="s">
        <v>2504</v>
      </c>
      <c r="BE5">
        <f>SUMIF($AC$718:$AC$752,"&lt;=20%",$G$718:G$752)</f>
        <v>0</v>
      </c>
      <c r="BF5" s="3" t="s">
        <v>2509</v>
      </c>
    </row>
    <row r="6" spans="1:58" ht="12.95" customHeight="1">
      <c r="BD6" s="3" t="s">
        <v>2505</v>
      </c>
      <c r="BE6" s="1249">
        <f>SUMIF($AC$718:$AC$752,"&lt;=25%",$G$718:G$752)-SUM($BE$5:BE5)</f>
        <v>0</v>
      </c>
    </row>
    <row r="7" spans="1:58" ht="12.95" customHeight="1">
      <c r="BD7" s="1247" t="s">
        <v>2497</v>
      </c>
      <c r="BE7" s="1249">
        <f>SUMIF($AC$718:$AC$752,"&lt;=30%",$G$718:G$752)-SUM($BE$5:BE6)</f>
        <v>35</v>
      </c>
    </row>
    <row r="8" spans="1:58" ht="26.25" customHeight="1">
      <c r="A8" s="1839" t="s">
        <v>100</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898"/>
      <c r="AV8" s="898"/>
      <c r="AW8" s="898"/>
      <c r="AX8" s="898"/>
      <c r="AY8" s="898"/>
      <c r="BD8" s="3" t="s">
        <v>2506</v>
      </c>
      <c r="BE8" s="1249">
        <f>SUMIF($AC$718:$AC$752,"&lt;=35%",$G$718:G$752)-SUM($BE$5:BE7)</f>
        <v>0</v>
      </c>
    </row>
    <row r="9" spans="1:58" ht="12.95" customHeight="1">
      <c r="A9" s="1840" t="s">
        <v>2074</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3"/>
      <c r="AV9" s="13"/>
      <c r="AW9" s="13"/>
      <c r="AX9" s="13"/>
      <c r="AY9" s="13"/>
      <c r="BD9" s="1248" t="s">
        <v>2498</v>
      </c>
      <c r="BE9" s="1249">
        <f>SUMIF($AC$718:$AC$752,"&lt;=40%",$G$718:G$752)-SUM($BE$5:BE8)</f>
        <v>0</v>
      </c>
    </row>
    <row r="10" spans="1:58" ht="12.95" customHeight="1">
      <c r="A10" s="1840" t="s">
        <v>2455</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3"/>
      <c r="AV10" s="13"/>
      <c r="AW10" s="13"/>
      <c r="AX10" s="13"/>
      <c r="AY10" s="13"/>
      <c r="BD10" s="3" t="s">
        <v>2507</v>
      </c>
      <c r="BE10" s="1249">
        <f>SUMIF($AC$718:$AC$752,"&lt;=45%",$G$718:G$752)-SUM($BE$5:BE9)</f>
        <v>0</v>
      </c>
    </row>
    <row r="11" spans="1:58" ht="12.95" customHeight="1">
      <c r="A11" s="1840" t="s">
        <v>2601</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3"/>
      <c r="AV11" s="13"/>
      <c r="AW11" s="13"/>
      <c r="AX11" s="13"/>
      <c r="AY11" s="13"/>
      <c r="BD11" s="1247" t="s">
        <v>2499</v>
      </c>
      <c r="BE11" s="1249">
        <f>SUMIF($AC$718:$AC$752,"&lt;=50%",$G$718:G$752)-SUM($BE$5:BE10)</f>
        <v>35</v>
      </c>
    </row>
    <row r="12" spans="1:58" ht="12.95" customHeight="1">
      <c r="A12" s="1841" t="s">
        <v>2607</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c r="BD12" s="3" t="s">
        <v>2508</v>
      </c>
      <c r="BE12" s="1249">
        <f>SUMIF($AC$718:$AC$752,"&lt;=55%",$G$718:G$752)-SUM($BE$5:BE11)</f>
        <v>0</v>
      </c>
    </row>
    <row r="13" spans="1:58" ht="12.95" customHeight="1">
      <c r="A13" s="1270" t="s">
        <v>2075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2500</v>
      </c>
      <c r="BE13" s="1249">
        <f>SUMIF($AC$718:$AC$752,"&lt;=60%",$G$718:G$752)-SUM($BE$5:BE12)</f>
        <v>168</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2501</v>
      </c>
      <c r="BE14" s="1249">
        <f>SUMIF($AC$718:$AC$752,"&lt;=70%",$G$718:G$752)-SUM($BE$5:BE13)</f>
        <v>104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SUMIF($AC$718:$AC$752,"&lt;=80%",$G$718:G$752)-SUM($BE$5:BE14)</f>
        <v>0</v>
      </c>
    </row>
    <row r="16" spans="1:58" ht="12.95" customHeight="1">
      <c r="A16" s="57" t="s">
        <v>2076</v>
      </c>
      <c r="C16" s="4"/>
      <c r="D16" s="4"/>
      <c r="E16" s="4"/>
      <c r="F16" s="4"/>
      <c r="G16" s="4"/>
      <c r="H16" s="1846" t="str">
        <f>'[1]Data Port'!$G$20</f>
        <v>American Housing Company 1 LLC</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655</v>
      </c>
      <c r="BE16" s="1249" t="str">
        <f>Application!H18</f>
        <v>636 N Locust Avenue, Long Beach, CA 90802</v>
      </c>
    </row>
    <row r="17" spans="1:58" ht="12.95" customHeight="1">
      <c r="BD17" s="1247" t="s">
        <v>2515</v>
      </c>
      <c r="BE17" s="1249">
        <f>Application!AA934</f>
        <v>0</v>
      </c>
    </row>
    <row r="18" spans="1:58" ht="12.95" customHeight="1">
      <c r="A18" s="57" t="s">
        <v>101</v>
      </c>
      <c r="C18" s="4"/>
      <c r="D18" s="4"/>
      <c r="E18" s="4"/>
      <c r="F18" s="4"/>
      <c r="G18" s="4"/>
      <c r="H18" s="1524" t="str">
        <f>'[1]Data Port'!$G$21</f>
        <v>636 N Locust Avenue, Long Beach, CA 90802</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2516</v>
      </c>
      <c r="BE18" s="1249">
        <f>'CalHFA Addendum'!N11</f>
        <v>0</v>
      </c>
    </row>
    <row r="19" spans="1:58" ht="12.95" customHeight="1">
      <c r="BD19" s="1247" t="s">
        <v>2517</v>
      </c>
      <c r="BE19" s="1249">
        <f>Application!M26</f>
        <v>5442240</v>
      </c>
    </row>
    <row r="20" spans="1:58" ht="12.95" customHeight="1">
      <c r="A20" s="1842" t="s">
        <v>872</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00"/>
      <c r="AV20" s="900"/>
      <c r="AW20" s="900"/>
      <c r="AX20" s="900"/>
      <c r="AY20" s="900"/>
      <c r="BD20" s="1248" t="s">
        <v>2518</v>
      </c>
      <c r="BE20" s="1249">
        <f>Application!M27</f>
        <v>0</v>
      </c>
    </row>
    <row r="21" spans="1:58" ht="12.95" customHeight="1">
      <c r="A21" s="1847" t="s">
        <v>1007</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2519</v>
      </c>
      <c r="BE21" s="1249">
        <f>Application!AM554</f>
        <v>29391578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112821738</v>
      </c>
      <c r="BF22" s="3" t="s">
        <v>2592</v>
      </c>
    </row>
    <row r="23" spans="1:58" ht="12.95" customHeight="1">
      <c r="A23" s="1328" t="s">
        <v>2143</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2520</v>
      </c>
      <c r="BE23" s="1249">
        <f>'Sources and Uses Budget'!B4</f>
        <v>2220000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2521</v>
      </c>
      <c r="BE24" s="1249">
        <f>Application!AG450</f>
        <v>265711.5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5" customHeight="1">
      <c r="A26" s="4"/>
      <c r="C26" s="4"/>
      <c r="D26" s="4"/>
      <c r="E26" s="4"/>
      <c r="F26" s="4"/>
      <c r="G26" s="4"/>
      <c r="H26" s="4"/>
      <c r="I26" s="4"/>
      <c r="J26" s="4"/>
      <c r="K26" s="4"/>
      <c r="L26" s="4"/>
      <c r="M26" s="1845">
        <f>'Basis &amp; Credits'!AB56</f>
        <v>5442240</v>
      </c>
      <c r="N26" s="1845"/>
      <c r="O26" s="1845"/>
      <c r="P26" s="1845"/>
      <c r="Q26" s="1845"/>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5" customHeight="1">
      <c r="A29" s="1536" t="s">
        <v>2144</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2524</v>
      </c>
      <c r="BE29" s="1249"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2525</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5" customHeight="1">
      <c r="A33" s="519" t="s">
        <v>1276</v>
      </c>
      <c r="C33" s="519"/>
      <c r="D33" s="519"/>
      <c r="E33" s="519"/>
      <c r="F33" s="519"/>
      <c r="G33" s="519"/>
      <c r="H33" s="519"/>
      <c r="I33" s="519"/>
      <c r="J33" s="519"/>
      <c r="K33" s="519"/>
      <c r="L33" s="519"/>
      <c r="M33" s="519"/>
      <c r="N33" s="519"/>
      <c r="O33" s="1844" t="str">
        <f>'[1]Data Port'!$D$22</f>
        <v>No</v>
      </c>
      <c r="P33" s="1417"/>
      <c r="Q33" s="1843" t="s">
        <v>2145</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c r="BD33" s="1247" t="s">
        <v>2593</v>
      </c>
      <c r="BE33" s="1249" t="str">
        <f>Application!D220</f>
        <v>City of Los Angeles</v>
      </c>
    </row>
    <row r="34" spans="1:57" ht="12.95" customHeight="1">
      <c r="A34" s="1536" t="s">
        <v>2146</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2527</v>
      </c>
      <c r="BE34" s="1249" t="str">
        <f>Application!I185</f>
        <v>636 N Locust Avenue, Long Beach, CA 90802</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2528</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2529</v>
      </c>
      <c r="BE36" s="1249" t="str">
        <f>Application!I189</f>
        <v>Long Beach</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2530</v>
      </c>
      <c r="BE37" s="1249" t="str">
        <f>Application!T189</f>
        <v>Los Angeles</v>
      </c>
    </row>
    <row r="38" spans="1:57" ht="12.95" customHeight="1">
      <c r="A38" s="3"/>
      <c r="AZ38" s="20"/>
      <c r="BD38" s="1248" t="s">
        <v>2531</v>
      </c>
      <c r="BE38" s="1249" t="str">
        <f>Application!I190</f>
        <v>90802</v>
      </c>
    </row>
    <row r="39" spans="1:57" ht="12.95" customHeight="1">
      <c r="A39" s="1260" t="s">
        <v>2147</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2532</v>
      </c>
      <c r="BE39" s="1249">
        <f>Application!AG437</f>
        <v>346</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342</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2533</v>
      </c>
      <c r="BE42" s="1251">
        <f>Application!AC753</f>
        <v>0.58947368421052626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2534</v>
      </c>
      <c r="BE43" s="1251">
        <f>Application!AH753</f>
        <v>0.58913422963636353</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2535</v>
      </c>
      <c r="BE44" s="1249">
        <f>Application!AC454</f>
        <v>326074.38728323701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5" customHeight="1">
      <c r="A46" s="1328" t="s">
        <v>2148</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2537</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2538</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2539</v>
      </c>
      <c r="BE48" s="1249" t="str">
        <f>Application!M243</f>
        <v>American Housing Company 1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2540</v>
      </c>
      <c r="BE49" s="1249" t="str">
        <f>Application!M246</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American Housing Company 1 LLC</v>
      </c>
    </row>
    <row r="51" spans="1:57" ht="12.95" customHeight="1">
      <c r="A51" s="1260" t="s">
        <v>2149</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2542</v>
      </c>
      <c r="BE51" s="1249" t="str">
        <f>Application!M251</f>
        <v>Community Revitalization and Development Corporation</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2543</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Community Revitalization and Development Corporation</v>
      </c>
    </row>
    <row r="54" spans="1:57" ht="12.95" customHeight="1">
      <c r="A54" s="1260" t="s">
        <v>2150</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2545</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2546</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2547</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2548</v>
      </c>
      <c r="BE57" s="1249" t="str">
        <f>Application!H287</f>
        <v>American Housing Company 1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2549</v>
      </c>
      <c r="BE58" s="1249" t="str">
        <f>Application!H288</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Oakland, CA 94607</v>
      </c>
    </row>
    <row r="60" spans="1:57" ht="12.95" customHeight="1">
      <c r="A60" s="1260" t="s">
        <v>2151</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2551</v>
      </c>
      <c r="BE60" s="1249" t="str">
        <f>Application!H290</f>
        <v>Jeremy Harris</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2552</v>
      </c>
      <c r="BE61" s="1249" t="str">
        <f>Application!H293</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'Basis &amp; Credits'!AB50</f>
        <v>0.8175850571633636</v>
      </c>
    </row>
    <row r="63" spans="1:57" ht="12.95" customHeight="1">
      <c r="A63" s="91" t="s">
        <v>2152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2.95" customHeight="1">
      <c r="A65" s="1546" t="s">
        <v>2153</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2590</v>
      </c>
      <c r="BE65" s="1249" t="str">
        <f>Z205</f>
        <v>(select)</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2555</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2556</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'Sources and Uses Budget'!D105</f>
        <v>0</v>
      </c>
    </row>
    <row r="69" spans="1:57" ht="12.95" customHeight="1">
      <c r="A69" s="1546" t="s">
        <v>2154</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2558</v>
      </c>
      <c r="BE69" s="1249">
        <f>Application!W700</f>
        <v>0</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2559</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5" customHeight="1">
      <c r="A72" s="1536" t="s">
        <v>2155</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2561</v>
      </c>
      <c r="BE72" s="1249">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2562</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'Points System'!AF807</f>
        <v>10</v>
      </c>
    </row>
    <row r="75" spans="1:57" ht="12.95" customHeight="1">
      <c r="A75" s="1545" t="s">
        <v>2156</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2564</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2565</v>
      </c>
      <c r="BE76" s="1249">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2566</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5" customHeight="1">
      <c r="A79" s="1546" t="s">
        <v>2157</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2568</v>
      </c>
      <c r="BE79" s="1249">
        <f>'Points System'!AF815</f>
        <v>9</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2569</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2570</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'Points System'!AF819</f>
        <v>10</v>
      </c>
    </row>
    <row r="83" spans="1:57" ht="12.95" customHeight="1">
      <c r="A83" s="1260" t="s">
        <v>2158</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2572</v>
      </c>
      <c r="BE83" s="1253">
        <f>'Tie Breaker'!H5</f>
        <v>2.8945817298661236</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2573</v>
      </c>
      <c r="BE84" s="1249" t="str">
        <f>Application!O153</f>
        <v>City of Long Beach</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Mr. Patrick Ure</v>
      </c>
    </row>
    <row r="86" spans="1:57" ht="12.95" customHeight="1">
      <c r="A86" s="1260" t="s">
        <v>2159</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2575</v>
      </c>
      <c r="BE86" s="1249" t="str">
        <f>Application!O155</f>
        <v>housing Operations Officer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2576</v>
      </c>
      <c r="BE87" s="1249" t="str">
        <f>Application!O156</f>
        <v>333 W. Ocean Blvd., Third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Long Beach</v>
      </c>
    </row>
    <row r="89" spans="1:57" ht="12.95" customHeight="1">
      <c r="A89" s="1554" t="s">
        <v>2160</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2578</v>
      </c>
      <c r="BE89" s="1249">
        <f>Application!O158</f>
        <v>90802</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2579</v>
      </c>
      <c r="BE90" s="1249" t="str">
        <f>Application!H16</f>
        <v>American Housing Company 1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411 2nd Street</v>
      </c>
    </row>
    <row r="92" spans="1:57" ht="12.95" customHeight="1">
      <c r="A92" s="1545" t="s">
        <v>2161</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2581</v>
      </c>
      <c r="BE92" s="1249" t="str">
        <f>Application!M234</f>
        <v>Oakland</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2582</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2583</v>
      </c>
      <c r="BE94" s="1249">
        <f>Application!AC234</f>
        <v>94607</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2584</v>
      </c>
      <c r="BE95" s="1249" t="str">
        <f>Application!M235</f>
        <v>CA</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2585</v>
      </c>
      <c r="BE96" s="1249" t="str">
        <f>Application!M237</f>
        <v>jeremy@owow.com</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2586</v>
      </c>
      <c r="BE97" s="1249" t="str">
        <f>Application!M248</f>
        <v>jeremy@owow.com</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2587</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5" customHeight="1">
      <c r="A100" s="1555" t="s">
        <v>2162</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2589</v>
      </c>
      <c r="BE100" s="1249" t="str">
        <f>Application!L279</f>
        <v>jeremy@owow.com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2594</v>
      </c>
      <c r="BE101">
        <f>'Sources and Uses Budget'!C105</f>
        <v>112821738</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2595</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2172</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5" t="s">
        <v>2163</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8">
        <f ca="1">DAY(TODAY())</f>
        <v>8</v>
      </c>
      <c r="H113" s="1548"/>
      <c r="I113" s="3" t="s">
        <v>182</v>
      </c>
      <c r="L113" s="1548" t="str">
        <f ca="1">TEXT(TODAY(),"mmmm")</f>
        <v>September</v>
      </c>
      <c r="M113" s="1548"/>
      <c r="N113" s="1548"/>
      <c r="O113" s="1548"/>
      <c r="P113" s="1562" t="s">
        <v>2236</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2609</v>
      </c>
      <c r="D115" s="1549"/>
      <c r="E115" s="1549"/>
      <c r="F115" s="1549"/>
      <c r="G115" s="1549"/>
      <c r="H115" s="1549"/>
      <c r="I115" s="1549"/>
      <c r="J115" s="1549"/>
      <c r="K115" s="154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8"/>
      <c r="Z117" s="1548"/>
      <c r="AA117" s="1548"/>
      <c r="AB117" s="1548"/>
      <c r="AC117" s="1548"/>
      <c r="AD117" s="1548"/>
      <c r="AE117" s="1548"/>
      <c r="AF117" s="1548"/>
      <c r="AG117" s="1548"/>
      <c r="AH117" s="1548"/>
      <c r="AI117" s="1548"/>
      <c r="AJ117" s="1548"/>
      <c r="AK117" s="1548"/>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2610</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7" t="s">
        <v>468</v>
      </c>
      <c r="CV122" s="1698"/>
      <c r="CW122" s="14"/>
      <c r="CX122" s="14" t="s">
        <v>633</v>
      </c>
      <c r="CY122" s="14"/>
      <c r="CZ122" s="14"/>
      <c r="DA122" s="14"/>
      <c r="DB122" s="14"/>
      <c r="DC122" s="14"/>
      <c r="DD122" s="14"/>
      <c r="DE122" s="14"/>
      <c r="DF122" s="14"/>
      <c r="DG122" s="1694" t="str">
        <f>T189</f>
        <v>Los Angeles</v>
      </c>
      <c r="DH122" s="1695"/>
      <c r="DI122" s="1695"/>
      <c r="DJ122" s="1695"/>
      <c r="DK122" s="1695"/>
      <c r="DL122" s="1695"/>
      <c r="DM122" s="1696"/>
    </row>
    <row r="123" spans="1:117" ht="12.95" customHeight="1">
      <c r="A123" s="3"/>
      <c r="B123" s="3"/>
      <c r="T123" s="3"/>
      <c r="U123" s="3"/>
      <c r="V123" s="3"/>
      <c r="W123" s="3"/>
      <c r="X123" s="3"/>
      <c r="Y123" s="1548" t="s">
        <v>2611</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5" customHeight="1">
      <c r="BM152">
        <v>4</v>
      </c>
      <c r="BN152" s="3" t="s">
        <v>2461</v>
      </c>
    </row>
    <row r="153" spans="1:108" ht="12.95" customHeight="1">
      <c r="D153" t="s">
        <v>644</v>
      </c>
      <c r="O153" s="1527" t="str">
        <f>'[1]Data Port'!$G1413</f>
        <v>City of Long Beach</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2463</v>
      </c>
      <c r="CR153" s="31" t="s">
        <v>2596</v>
      </c>
      <c r="CS153" s="32"/>
      <c r="CT153" s="32"/>
      <c r="CU153" s="32"/>
      <c r="CV153" s="32"/>
      <c r="CW153" s="32"/>
      <c r="CX153" s="14"/>
      <c r="CY153" s="31" t="s">
        <v>2597</v>
      </c>
      <c r="CZ153" s="14"/>
      <c r="DA153" s="14"/>
      <c r="DB153" s="14"/>
      <c r="DC153" s="14"/>
      <c r="DD153" s="14"/>
    </row>
    <row r="154" spans="1:108" ht="12.95" customHeight="1">
      <c r="D154" s="303" t="s">
        <v>439</v>
      </c>
      <c r="O154" s="1473" t="str">
        <f>'[1]Data Port'!$G1414</f>
        <v>Mr. Patrick Ure</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2464</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3" t="str">
        <f>'[1]Data Port'!$G1415</f>
        <v>housing Operations Officer</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09" t="str">
        <f>'[1]Data Port'!$G1416</f>
        <v>333 W. Ocean Blvd., Third Floor</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7" t="str">
        <f>'[1]Data Port'!$G1417</f>
        <v>Long Beach</v>
      </c>
      <c r="P157" s="1527"/>
      <c r="Q157" s="1527"/>
      <c r="R157" s="1527"/>
      <c r="S157" s="1527"/>
      <c r="T157" s="1527"/>
      <c r="U157" s="1527"/>
      <c r="V157" s="1527"/>
      <c r="W157" s="1527"/>
      <c r="X157" s="152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8">
        <f>'[1]Data Port'!$G$1418</f>
        <v>90802</v>
      </c>
      <c r="P158" s="1558"/>
      <c r="Q158" s="1558"/>
      <c r="R158" s="155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t="str">
        <f>'[1]Data Port'!$G$1419</f>
        <v>(562) 570-6026</v>
      </c>
      <c r="P159" s="1553"/>
      <c r="Q159" s="1553"/>
      <c r="R159" s="1553"/>
      <c r="S159" s="1553"/>
      <c r="T159" s="1553"/>
      <c r="V159" s="97" t="s">
        <v>271</v>
      </c>
      <c r="W159" s="1559">
        <f>'[1]Data Port'!$G$1422</f>
        <v>0</v>
      </c>
      <c r="X159" s="1559"/>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53" t="str">
        <f>'[1]Data Port'!$G$1420</f>
        <v>(562) 570-6215</v>
      </c>
      <c r="P160" s="1553"/>
      <c r="Q160" s="1553"/>
      <c r="R160" s="1553"/>
      <c r="S160" s="1553"/>
      <c r="T160" s="1553"/>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540" t="str">
        <f>'[1]Data Port'!$G$1421</f>
        <v>patrick.ure@longbeach.gov</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50" t="s">
        <v>2213</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35" t="s">
        <v>538</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532" t="str">
        <f>'[1]Data Port'!$G$24</f>
        <v>Preliminary Reservation</v>
      </c>
      <c r="K173" s="1532"/>
      <c r="L173" s="1532"/>
      <c r="M173" s="1532"/>
      <c r="N173" s="1532"/>
      <c r="O173" s="1532"/>
      <c r="P173" s="1532"/>
      <c r="Q173" s="1532"/>
      <c r="R173" s="1532"/>
      <c r="S173" s="153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409" t="str">
        <f>'[1]Data Port'!$G$25</f>
        <v>CDLAC-CTCAC Joint Application (submitting concurrently)</v>
      </c>
      <c r="K174" s="1409"/>
      <c r="L174" s="1409"/>
      <c r="M174" s="1409"/>
      <c r="N174" s="1409"/>
      <c r="O174" s="1409"/>
      <c r="P174" s="1409"/>
      <c r="Q174" s="1409"/>
      <c r="R174" s="1409"/>
      <c r="S174" s="1409"/>
      <c r="T174" s="1409"/>
      <c r="U174" s="1409"/>
      <c r="V174" s="1409"/>
      <c r="W174" s="1409"/>
      <c r="X174" s="1409"/>
      <c r="Y174" s="1409"/>
      <c r="Z174" s="1409"/>
      <c r="AA174" s="1409"/>
      <c r="AB174" s="1409"/>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7" t="str">
        <f>'[1]Data Port'!$G$26</f>
        <v>No</v>
      </c>
      <c r="V175" s="1417"/>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2077</v>
      </c>
      <c r="T176" s="27" t="s">
        <v>305</v>
      </c>
      <c r="U176" s="1511" t="str">
        <f>'[1]Data Port'!$G$27</f>
        <v>No</v>
      </c>
      <c r="V176" s="1511"/>
      <c r="W176" s="1" t="s">
        <v>306</v>
      </c>
      <c r="X176" s="1566" t="str">
        <f>'[1]Data Port'!$G$28</f>
        <v>No</v>
      </c>
      <c r="Y176" s="1566"/>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7" t="str">
        <f>'[1]Data Port'!$G$27</f>
        <v>No</v>
      </c>
      <c r="S177" s="1417"/>
      <c r="BB177" t="s">
        <v>2210</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1201</v>
      </c>
      <c r="AA178" t="s">
        <v>2077</v>
      </c>
      <c r="AE178" s="27" t="s">
        <v>305</v>
      </c>
      <c r="AF178" s="1565"/>
      <c r="AG178" s="1565"/>
      <c r="AH178" s="1" t="s">
        <v>306</v>
      </c>
      <c r="AI178" s="1448"/>
      <c r="AJ178" s="1448"/>
      <c r="AK178" s="1448"/>
      <c r="BB178" t="s">
        <v>2211</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2078</v>
      </c>
      <c r="X180" s="1417" t="str">
        <f>'[1]Data Port'!$G$28</f>
        <v>No</v>
      </c>
      <c r="Y180" s="1417"/>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485" t="str">
        <f>H18</f>
        <v>636 N Locust Avenue, Long Beach, CA 90802</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72" t="str">
        <f>'[1]Data Port'!$G$30</f>
        <v>636 N Locust Avenue, Long Beach, CA 90802</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524" t="str">
        <f>'[1]Data Port'!$G$31</f>
        <v>Long Beach</v>
      </c>
      <c r="J189" s="1409"/>
      <c r="K189" s="1409"/>
      <c r="L189" s="1409"/>
      <c r="M189" s="1409"/>
      <c r="N189" s="1409"/>
      <c r="O189" s="1409"/>
      <c r="P189" s="1409"/>
      <c r="Q189" t="s">
        <v>581</v>
      </c>
      <c r="T189" s="1409" t="str">
        <f>'[1]Data Port'!$G$32</f>
        <v>Los Angeles</v>
      </c>
      <c r="U189" s="1409"/>
      <c r="V189" s="1409"/>
      <c r="W189" s="1409"/>
      <c r="X189" s="1409"/>
      <c r="Y189" s="1409"/>
      <c r="Z189" s="1409"/>
      <c r="AA189" s="1409"/>
      <c r="AB189" s="1409"/>
      <c r="AC189" s="1409"/>
      <c r="AD189" s="1409"/>
      <c r="AE189" s="1409"/>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72" t="str">
        <f>'[1]Data Port'!$G$33</f>
        <v>90802</v>
      </c>
      <c r="J190" s="1372"/>
      <c r="K190" s="1372"/>
      <c r="L190" s="1372"/>
      <c r="M190" s="1372"/>
      <c r="N190" s="1372"/>
      <c r="O190" t="s">
        <v>584</v>
      </c>
      <c r="T190" s="1556" t="str">
        <f>'[1]Data Port'!$G$34</f>
        <v>576200</v>
      </c>
      <c r="U190" s="1556"/>
      <c r="V190" s="1556"/>
      <c r="W190" s="1556"/>
      <c r="X190" s="1556"/>
      <c r="Y190" s="1556"/>
      <c r="Z190" s="1556"/>
      <c r="AA190" s="1556"/>
      <c r="AB190" s="1556"/>
      <c r="AC190" s="1556"/>
      <c r="AD190" s="1556"/>
      <c r="AE190" s="1556"/>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530" t="str">
        <f>'[1]Data Port'!$G$35</f>
        <v>7273-026-004 , , , , ,</v>
      </c>
      <c r="O191" s="1530"/>
      <c r="P191" s="1530"/>
      <c r="Q191" s="1530"/>
      <c r="R191" s="1530"/>
      <c r="S191" s="1530"/>
      <c r="T191" s="1530"/>
      <c r="U191" s="1530"/>
      <c r="V191" s="1530"/>
      <c r="W191" s="1530"/>
      <c r="X191" s="1530"/>
      <c r="Y191" s="1530"/>
      <c r="Z191" s="1530"/>
      <c r="AA191" s="1530"/>
      <c r="AB191" s="1530"/>
      <c r="AC191" s="1530"/>
      <c r="AD191" s="1530"/>
      <c r="AE191" s="1530"/>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560" t="str">
        <f>'[1]Data Port'!$G$36</f>
        <v>Moderate Resource</v>
      </c>
      <c r="U193" s="1560"/>
      <c r="V193" s="1560"/>
      <c r="W193" s="1560"/>
      <c r="X193" s="1560"/>
      <c r="Y193" s="1560"/>
      <c r="Z193" s="1560"/>
      <c r="AA193" s="1560"/>
      <c r="AB193" s="1560"/>
      <c r="AC193" s="1560"/>
      <c r="AD193" s="1560"/>
      <c r="AE193" s="1560"/>
      <c r="AF193" s="1560"/>
      <c r="AG193" s="1560"/>
      <c r="AH193" s="1560"/>
      <c r="AI193" s="1560"/>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2212</v>
      </c>
      <c r="M194" s="40"/>
      <c r="N194" s="894"/>
      <c r="O194" s="894"/>
      <c r="P194" s="894"/>
      <c r="Q194" s="894"/>
      <c r="R194" s="894"/>
      <c r="S194" s="894"/>
      <c r="AH194" s="1417" t="str">
        <f>'[1]Data Port'!$G$37</f>
        <v>No</v>
      </c>
      <c r="AI194" s="1417"/>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417" t="str">
        <f>'[1]Data Port'!$G$38</f>
        <v>No</v>
      </c>
      <c r="U195" s="1417"/>
      <c r="W195" t="s">
        <v>683</v>
      </c>
      <c r="AH195" s="1417">
        <f>'[1]Data Port'!$G$39</f>
        <v>42</v>
      </c>
      <c r="AI195" s="1417"/>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29" t="str">
        <f>'[1]Data Port'!$G$40</f>
        <v>Yes</v>
      </c>
      <c r="U196" s="1429"/>
      <c r="W196" t="s">
        <v>684</v>
      </c>
      <c r="AH196" s="1417">
        <f>'[1]Data Port'!$G$41</f>
        <v>69</v>
      </c>
      <c r="AI196" s="1417"/>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29" t="str">
        <f>'[1]Data Port'!$G$44</f>
        <v>No</v>
      </c>
      <c r="U197" s="1429"/>
      <c r="W197" t="s">
        <v>685</v>
      </c>
      <c r="AH197" s="1417">
        <f>'[1]Data Port'!$G$43</f>
        <v>33</v>
      </c>
      <c r="AI197" s="1417"/>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429" t="str">
        <f>'[1]Data Port'!$G$44</f>
        <v>No</v>
      </c>
      <c r="U198" s="1429"/>
      <c r="V198"/>
      <c r="X198" s="1536" t="s">
        <v>2510</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2513</v>
      </c>
      <c r="E199"/>
      <c r="F199"/>
      <c r="G199"/>
      <c r="H199"/>
      <c r="I199"/>
      <c r="J199"/>
      <c r="K199"/>
      <c r="L199"/>
      <c r="M199"/>
      <c r="N199"/>
      <c r="O199"/>
      <c r="P199"/>
      <c r="Q199"/>
      <c r="R199"/>
      <c r="S199"/>
      <c r="T199" s="1417" t="str">
        <f>'[1]Data Port'!$G$45</f>
        <v>No</v>
      </c>
      <c r="U199" s="1417"/>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2511</v>
      </c>
      <c r="T200" s="1417" t="str">
        <f>'[1]Data Port'!$G$46</f>
        <v>No</v>
      </c>
      <c r="U200" s="1417"/>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2512</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85" t="s">
        <v>384</v>
      </c>
      <c r="E204" s="1485"/>
      <c r="F204" s="1485"/>
      <c r="G204" s="1485"/>
      <c r="H204" s="1485"/>
      <c r="I204" s="1485"/>
      <c r="J204" s="1485"/>
      <c r="K204" s="1485"/>
      <c r="L204" s="1485"/>
      <c r="M204" s="1485"/>
      <c r="P204" s="1551">
        <f>M26</f>
        <v>5442240</v>
      </c>
      <c r="Q204" s="1552"/>
      <c r="R204" s="1552"/>
      <c r="S204" s="1552"/>
      <c r="T204" s="1552"/>
      <c r="U204" s="1552"/>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38" t="s">
        <v>1245</v>
      </c>
      <c r="E205" s="1485"/>
      <c r="F205" s="1485"/>
      <c r="G205" s="1485"/>
      <c r="H205" s="1485"/>
      <c r="I205" s="1485"/>
      <c r="J205" s="1485"/>
      <c r="K205" s="1485"/>
      <c r="L205" s="1485"/>
      <c r="M205" s="1485"/>
      <c r="P205" s="1552">
        <f>M27</f>
        <v>0</v>
      </c>
      <c r="Q205" s="1552"/>
      <c r="R205" s="1552"/>
      <c r="S205" s="1552"/>
      <c r="T205" s="1552"/>
      <c r="U205" s="1552"/>
      <c r="V205" s="28"/>
      <c r="W205" s="3" t="s">
        <v>1718</v>
      </c>
      <c r="Z205" s="1534" t="str">
        <f>'[1]Data Port'!$G$48</f>
        <v>(select)</v>
      </c>
      <c r="AA205" s="1534"/>
      <c r="AB205" s="1534"/>
      <c r="AC205" s="1534"/>
      <c r="AD205" s="1534"/>
      <c r="AE205" s="1534"/>
      <c r="AF205" s="1534"/>
      <c r="AG205" s="1534"/>
      <c r="AH205" s="1534"/>
      <c r="AI205" s="1534"/>
      <c r="AJ205" s="1534"/>
      <c r="AK205" s="1534"/>
      <c r="AL205" s="1534"/>
      <c r="AM205" s="1534"/>
      <c r="AN205" s="1534"/>
      <c r="AP205" s="1407"/>
      <c r="AQ205" s="1407"/>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27" t="str">
        <f>'[1]Data Port'!$G$50</f>
        <v>40%/60% Average Income</v>
      </c>
      <c r="E208" s="1527"/>
      <c r="F208" s="1527"/>
      <c r="G208" s="1527"/>
      <c r="H208" s="1527"/>
      <c r="I208" s="1527"/>
      <c r="J208" s="1527"/>
      <c r="K208" s="1527"/>
      <c r="L208" s="1527"/>
      <c r="M208" s="1527"/>
      <c r="BC208" s="3" t="s">
        <v>2203</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7" t="str">
        <f>'[1]Data Port'!$G$52</f>
        <v>Non-Targeted</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2227</v>
      </c>
      <c r="Q212" s="1417"/>
      <c r="R212" s="1417"/>
      <c r="T212" s="1563">
        <f>IFERROR(Q212/AG440,0)</f>
        <v>0</v>
      </c>
      <c r="U212" s="1564"/>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2470</v>
      </c>
      <c r="BC213" t="s">
        <v>525</v>
      </c>
      <c r="BI213" s="3" t="s">
        <v>2224</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590</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529</v>
      </c>
      <c r="BI214" s="3" t="s">
        <v>2217</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526</v>
      </c>
      <c r="BI215" s="3" t="s">
        <v>2218</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565</v>
      </c>
      <c r="BI216" t="s">
        <v>2216</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2220</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2230</v>
      </c>
      <c r="D218" s="28"/>
      <c r="AC218" s="2" t="s">
        <v>2459</v>
      </c>
      <c r="BC218" t="s">
        <v>528</v>
      </c>
    </row>
    <row r="219" spans="1:108" ht="12.95" customHeight="1">
      <c r="A219" s="2"/>
      <c r="C219" s="2"/>
      <c r="D219" s="3" t="s">
        <v>2460</v>
      </c>
      <c r="AZ219" s="3"/>
      <c r="BA219" s="3"/>
      <c r="BC219" t="s">
        <v>376</v>
      </c>
    </row>
    <row r="220" spans="1:108" ht="12.95" customHeight="1">
      <c r="A220" s="2"/>
      <c r="C220" s="2"/>
      <c r="D220" s="1527" t="str">
        <f>'[1]Data Port'!$G$54</f>
        <v>City of Los Angeles</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7" t="str">
        <f>'[1]Data Port'!$G$55</f>
        <v>City of Los Angeles</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539</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6.5" customHeight="1">
      <c r="AZ224" s="4"/>
      <c r="BA224" s="3"/>
      <c r="BB224" s="3"/>
      <c r="BQ224" s="34"/>
    </row>
    <row r="225" spans="1:59" ht="12.95"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tr">
        <f>'[1]Data Port'!$G$59</f>
        <v>N/A</v>
      </c>
      <c r="AJ226" s="1417"/>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tr">
        <f>'[1]Data Port'!$G$60</f>
        <v>Yes</v>
      </c>
      <c r="AJ227" s="1417"/>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tr">
        <f>'[1]Data Port'!$G$61</f>
        <v>Yes</v>
      </c>
      <c r="AJ228" s="1417"/>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tr">
        <f>'[1]Data Port'!$G$62</f>
        <v>N/A</v>
      </c>
      <c r="AJ229" s="1417"/>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57" t="str">
        <f>H16</f>
        <v>American Housing Company 1 LLC</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537</v>
      </c>
      <c r="BG232" s="241">
        <f>IF(AND(AND($M$249="nonprofit",$M$257="nonprofit",$M$265="for profit")),2,0)</f>
        <v>0</v>
      </c>
    </row>
    <row r="233" spans="1:59" ht="12.95" customHeight="1">
      <c r="D233" s="4" t="s">
        <v>85</v>
      </c>
      <c r="E233" s="4"/>
      <c r="F233" s="4"/>
      <c r="G233" s="4"/>
      <c r="H233" s="4"/>
      <c r="I233" s="4"/>
      <c r="J233" s="4"/>
      <c r="K233" s="4"/>
      <c r="M233" s="1527" t="str">
        <f>'[1]Data Port'!$G$64</f>
        <v>411 2nd Street</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537</v>
      </c>
      <c r="BG233" s="241">
        <f>IF(AND(AND($M$249="nonprofit",$M$257="for profit",$M$265="nonprofit")),2,0)</f>
        <v>0</v>
      </c>
    </row>
    <row r="234" spans="1:59" ht="12.95" customHeight="1">
      <c r="D234" s="4" t="s">
        <v>579</v>
      </c>
      <c r="E234" s="4"/>
      <c r="M234" s="1527" t="str">
        <f>'[1]Data Port'!$G$65</f>
        <v>Oakland</v>
      </c>
      <c r="N234" s="1527"/>
      <c r="O234" s="1527"/>
      <c r="P234" s="1527"/>
      <c r="Q234" s="1527"/>
      <c r="R234" s="1527"/>
      <c r="S234" s="1527"/>
      <c r="T234" s="1527"/>
      <c r="V234" s="33" t="s">
        <v>86</v>
      </c>
      <c r="W234" s="1473" t="str">
        <f>'[1]Data Port'!$G$66</f>
        <v>CA</v>
      </c>
      <c r="X234" s="1473"/>
      <c r="Y234" s="4" t="s">
        <v>582</v>
      </c>
      <c r="AC234" s="1527">
        <f>'[1]Data Port'!$G$67</f>
        <v>94607</v>
      </c>
      <c r="AD234" s="1527"/>
      <c r="AE234" s="1527"/>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527" t="str">
        <f>'[1]Data Port'!$G$66</f>
        <v>CA</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5" customHeight="1">
      <c r="D236" s="4" t="s">
        <v>88</v>
      </c>
      <c r="E236" s="4"/>
      <c r="F236" s="4"/>
      <c r="M236" s="1489">
        <f>'[1]Data Port'!$G$69</f>
        <v>8584495270</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536</v>
      </c>
      <c r="BG236" s="241">
        <f>IF(AND(AND($M$249="nonprofit",$M$257="nonprofit",$M$265="(select one)")),1,0)</f>
        <v>0</v>
      </c>
    </row>
    <row r="237" spans="1:59" ht="12.95" customHeight="1">
      <c r="D237" s="4" t="s">
        <v>90</v>
      </c>
      <c r="E237" s="4"/>
      <c r="F237" s="4"/>
      <c r="M237" s="1540" t="str">
        <f>'[1]Data Port'!$G$70</f>
        <v>jeremy@owow.com</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2" t="str">
        <f>'[1]Data Port'!$G$72</f>
        <v>Other</v>
      </c>
      <c r="N238" s="1372"/>
      <c r="O238" s="1372"/>
      <c r="P238" s="1372"/>
      <c r="Q238" s="1372"/>
      <c r="R238" s="1372"/>
      <c r="S238" s="1372"/>
      <c r="T238" s="1372"/>
      <c r="U238" s="204" t="s">
        <v>905</v>
      </c>
      <c r="V238" s="204"/>
      <c r="W238" s="204"/>
      <c r="X238" s="204"/>
      <c r="Y238" s="204"/>
      <c r="Z238" s="204"/>
      <c r="AA238" s="1561" t="str">
        <f>'[1]Data Port'!$G$73</f>
        <v>American Housing Company 1 LLC</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9" t="str">
        <f>'[1]Data Port'!$G$74</f>
        <v>A Limited Liability Company</v>
      </c>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43" t="str">
        <f>'[1]Data Port'!$G$76</f>
        <v>American Housing Company 1 LLC</v>
      </c>
      <c r="N243" s="1543"/>
      <c r="O243" s="1543"/>
      <c r="P243" s="1543"/>
      <c r="Q243" s="1543"/>
      <c r="R243" s="1543"/>
      <c r="S243" s="1543"/>
      <c r="T243" s="1543"/>
      <c r="U243" s="1543"/>
      <c r="V243" s="1543"/>
      <c r="W243" s="1543"/>
      <c r="X243" s="1543"/>
      <c r="Y243" s="1543"/>
      <c r="Z243" s="1543"/>
      <c r="AA243" s="1543"/>
      <c r="AB243" s="1543"/>
      <c r="AC243" s="1543"/>
      <c r="AD243" s="1543"/>
      <c r="AE243" s="1543"/>
      <c r="AF243" s="1543" t="str">
        <f>'[1]Data Port'!$G$77</f>
        <v>Administrative GP</v>
      </c>
      <c r="AG243" s="1543"/>
      <c r="AH243" s="1543"/>
      <c r="AI243" s="1543"/>
      <c r="AJ243" s="1543"/>
      <c r="AK243" s="154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7" t="str">
        <f>'[1]Data Port'!$G$78</f>
        <v>411 2nd Street</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1177</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527" t="str">
        <f>'[1]Data Port'!$G$79</f>
        <v>Oakland</v>
      </c>
      <c r="N245" s="1527"/>
      <c r="O245" s="1527"/>
      <c r="P245" s="1527"/>
      <c r="Q245" s="1527"/>
      <c r="R245" s="1527"/>
      <c r="S245" s="1527"/>
      <c r="T245" s="1527"/>
      <c r="V245" s="33" t="s">
        <v>86</v>
      </c>
      <c r="W245" s="1473" t="str">
        <f>'[1]Data Port'!$G$80</f>
        <v>CA</v>
      </c>
      <c r="X245" s="1473"/>
      <c r="Y245" s="4" t="s">
        <v>582</v>
      </c>
      <c r="AC245" s="1527">
        <f>'[1]Data Port'!$G$81</f>
        <v>94607</v>
      </c>
      <c r="AD245" s="1527"/>
      <c r="AE245" s="1527"/>
      <c r="AF245" s="3" t="s">
        <v>1178</v>
      </c>
      <c r="AU245" s="4"/>
      <c r="AV245" s="4"/>
      <c r="AW245" s="4"/>
      <c r="AX245" s="4"/>
      <c r="AY245" s="4"/>
      <c r="BB245" s="4" t="s">
        <v>280</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527" t="str">
        <f>'[1]Data Port'!$G$82</f>
        <v>Jeremy Harris</v>
      </c>
      <c r="N246" s="1527"/>
      <c r="O246" s="1527"/>
      <c r="P246" s="1527"/>
      <c r="Q246" s="1527"/>
      <c r="R246" s="1527"/>
      <c r="S246" s="1527"/>
      <c r="T246" s="1527"/>
      <c r="U246" s="1527"/>
      <c r="V246" s="1527"/>
      <c r="W246" s="1527"/>
      <c r="X246" s="1527"/>
      <c r="Y246" s="1527"/>
      <c r="Z246" s="1527"/>
      <c r="AA246" s="1527"/>
      <c r="AB246" s="1527"/>
      <c r="AC246" s="1527"/>
      <c r="AD246" s="1527"/>
      <c r="AE246" s="1527"/>
      <c r="AH246" s="1539">
        <f>'[1]Data Port'!$G$87</f>
        <v>1E-3</v>
      </c>
      <c r="AI246" s="1539"/>
      <c r="AJ246" s="1539"/>
      <c r="AK246" s="1539"/>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489">
        <f>'[1]Data Port'!$G$83</f>
        <v>8584495270</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0" t="str">
        <f>'[1]Data Port'!$G$84</f>
        <v>jeremy@owow.com</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2" t="str">
        <f>'[1]Data Port'!$G$85</f>
        <v>For Profit</v>
      </c>
      <c r="N249" s="1372"/>
      <c r="O249" s="1372"/>
      <c r="P249" s="1372"/>
      <c r="Q249" s="1372"/>
      <c r="R249" s="1372"/>
      <c r="S249" s="1372"/>
      <c r="T249" s="1372"/>
      <c r="U249" s="204" t="s">
        <v>905</v>
      </c>
      <c r="V249" s="204"/>
      <c r="W249" s="204"/>
      <c r="X249" s="204"/>
      <c r="Y249" s="204"/>
      <c r="Z249" s="204"/>
      <c r="AA249" s="1561" t="str">
        <f>'[1]Data Port'!$G$86</f>
        <v>American Housing Company 1 LLC</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43" t="str">
        <f>'[1]Data Port'!$G$89</f>
        <v>Community Revitalization and Development Corporation</v>
      </c>
      <c r="N251" s="1543"/>
      <c r="O251" s="1543"/>
      <c r="P251" s="1543"/>
      <c r="Q251" s="1543"/>
      <c r="R251" s="1543"/>
      <c r="S251" s="1543"/>
      <c r="T251" s="1543"/>
      <c r="U251" s="1543"/>
      <c r="V251" s="1543"/>
      <c r="W251" s="1543"/>
      <c r="X251" s="1543"/>
      <c r="Y251" s="1543"/>
      <c r="Z251" s="1543"/>
      <c r="AA251" s="1543"/>
      <c r="AB251" s="1543"/>
      <c r="AC251" s="1543"/>
      <c r="AD251" s="1543"/>
      <c r="AE251" s="1543"/>
      <c r="AF251" s="1543" t="str">
        <f>'[1]Data Port'!$G$90</f>
        <v>Managing GP</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527" t="str">
        <f>'[1]Data Port'!$G$91</f>
        <v>2051 Hilltop Drive, Suite A15</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1177</v>
      </c>
      <c r="AL252" s="4"/>
      <c r="AM252" s="4"/>
      <c r="AN252" s="4"/>
      <c r="AO252" s="4"/>
      <c r="AP252" s="4"/>
      <c r="AQ252" s="4"/>
      <c r="AR252" s="4"/>
      <c r="AS252" s="4"/>
      <c r="AT252" s="4"/>
      <c r="BN252" s="34"/>
    </row>
    <row r="253" spans="1:67" ht="12.95" customHeight="1">
      <c r="A253" s="19"/>
      <c r="B253" s="4"/>
      <c r="C253" s="4"/>
      <c r="D253" s="4" t="s">
        <v>579</v>
      </c>
      <c r="E253" s="4"/>
      <c r="M253" s="1527" t="str">
        <f>'[1]Data Port'!$G$92</f>
        <v>Redding</v>
      </c>
      <c r="N253" s="1527"/>
      <c r="O253" s="1527"/>
      <c r="P253" s="1527"/>
      <c r="Q253" s="1527"/>
      <c r="R253" s="1527"/>
      <c r="S253" s="1527"/>
      <c r="T253" s="1527"/>
      <c r="V253" s="33" t="s">
        <v>86</v>
      </c>
      <c r="W253" s="1473"/>
      <c r="X253" s="1473"/>
      <c r="Y253" s="4" t="s">
        <v>582</v>
      </c>
      <c r="AC253" s="1527"/>
      <c r="AD253" s="1527"/>
      <c r="AE253" s="1527"/>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527" t="str">
        <f>'[1]Data Port'!$G$95</f>
        <v>David Rutledge</v>
      </c>
      <c r="N254" s="1527"/>
      <c r="O254" s="1527"/>
      <c r="P254" s="1527"/>
      <c r="Q254" s="1527"/>
      <c r="R254" s="1527"/>
      <c r="S254" s="1527"/>
      <c r="T254" s="1527"/>
      <c r="U254" s="1527"/>
      <c r="V254" s="1527"/>
      <c r="W254" s="1527"/>
      <c r="X254" s="1527"/>
      <c r="Y254" s="1527"/>
      <c r="Z254" s="1527"/>
      <c r="AA254" s="1527"/>
      <c r="AB254" s="1527"/>
      <c r="AC254" s="1527"/>
      <c r="AD254" s="1527"/>
      <c r="AE254" s="1527"/>
      <c r="AH254" s="1539">
        <f>'[1]Data Port'!$G$100</f>
        <v>1E-3</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489" t="str">
        <f>'[1]Data Port'!$G$96</f>
        <v>510.241.6960</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0" t="str">
        <f>'[1]Data Port'!$G$97</f>
        <v>david@crdc-housing.org</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2" t="str">
        <f>'[1]Data Port'!$G$98</f>
        <v>Nonprofit</v>
      </c>
      <c r="N257" s="1372"/>
      <c r="O257" s="1372"/>
      <c r="P257" s="1372"/>
      <c r="Q257" s="1372"/>
      <c r="R257" s="1372"/>
      <c r="S257" s="1372"/>
      <c r="T257" s="1372"/>
      <c r="U257" s="204" t="s">
        <v>905</v>
      </c>
      <c r="V257" s="204"/>
      <c r="W257" s="204"/>
      <c r="X257" s="204"/>
      <c r="Y257" s="204"/>
      <c r="Z257" s="204"/>
      <c r="AA257" s="1561" t="str">
        <f>'[1]Data Port'!$G$99</f>
        <v>Community Revitalization and Development Corporation</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27"/>
      <c r="N261" s="1527"/>
      <c r="O261" s="1527"/>
      <c r="P261" s="1527"/>
      <c r="Q261" s="1527"/>
      <c r="R261" s="1527"/>
      <c r="S261" s="1527"/>
      <c r="T261" s="1527"/>
      <c r="V261" s="33" t="s">
        <v>86</v>
      </c>
      <c r="W261" s="1473"/>
      <c r="X261" s="1473"/>
      <c r="Y261" s="4" t="s">
        <v>582</v>
      </c>
      <c r="AC261" s="1527"/>
      <c r="AD261" s="1527"/>
      <c r="AE261" s="1527"/>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2" t="s">
        <v>307</v>
      </c>
      <c r="N265" s="1372"/>
      <c r="O265" s="1372"/>
      <c r="P265" s="1372"/>
      <c r="Q265" s="1372"/>
      <c r="R265" s="1372"/>
      <c r="S265" s="1372"/>
      <c r="T265" s="1372"/>
      <c r="U265" s="204" t="s">
        <v>905</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27" t="str">
        <f>'[1]Data Port'!$G$115</f>
        <v>to be formed</v>
      </c>
      <c r="E270" s="1527"/>
      <c r="F270" s="1527"/>
      <c r="G270" s="1527"/>
      <c r="H270" s="1527"/>
      <c r="J270" t="s">
        <v>279</v>
      </c>
      <c r="X270" s="1508">
        <f>'[1]Data Port'!$G$116</f>
        <v>46113</v>
      </c>
      <c r="Y270" s="1508"/>
      <c r="Z270" s="1508"/>
      <c r="AA270" s="1508"/>
      <c r="AB270" s="1508"/>
      <c r="AC270" s="150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8" t="str">
        <f>'[1]Data Port'!$G$118</f>
        <v>American Housing Company 1 LLC</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tr">
        <f>'[1]Data Port'!$G$129</f>
        <v>411 2nd Street</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579</v>
      </c>
      <c r="E276" s="4"/>
      <c r="L276" s="1527" t="str">
        <f>'[1]Data Port'!$G$130</f>
        <v>Oakland, CA 94607</v>
      </c>
      <c r="M276" s="1527"/>
      <c r="N276" s="1527"/>
      <c r="O276" s="1527"/>
      <c r="P276" s="1527"/>
      <c r="Q276" s="1527"/>
      <c r="R276" s="1527"/>
      <c r="S276" s="1527"/>
      <c r="U276" s="33" t="s">
        <v>86</v>
      </c>
      <c r="V276" s="1571" t="str">
        <f>'[1]Data Port'!$G$121</f>
        <v>CA</v>
      </c>
      <c r="W276" s="1473"/>
      <c r="X276" s="4" t="s">
        <v>582</v>
      </c>
      <c r="AB276" s="1542">
        <f>'[1]Data Port'!$G$122</f>
        <v>94607</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72" t="str">
        <f>'[1]Data Port'!$G$123</f>
        <v>Jeremy Harris</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489">
        <f>'[1]Data Port'!$G$124</f>
        <v>8584495270</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5" customHeight="1">
      <c r="D279" s="4" t="s">
        <v>90</v>
      </c>
      <c r="E279" s="4"/>
      <c r="F279" s="4"/>
      <c r="L279" s="1567" t="str">
        <f>'[1]Data Port'!$G$125</f>
        <v>jeremy@owow.com</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622</v>
      </c>
      <c r="E280" s="3"/>
      <c r="F280" s="3"/>
      <c r="G280" s="3"/>
      <c r="H280" s="3"/>
      <c r="I280" s="3"/>
      <c r="L280" s="1569" t="str">
        <f>'[1]Data Port'!$G$126</f>
        <v>Developer and Managing Member of the AGP in the future to be formed LP</v>
      </c>
      <c r="M280" s="1570"/>
      <c r="N280" s="1570"/>
      <c r="O280" s="1570"/>
      <c r="P280" s="1570"/>
      <c r="Q280" s="1570"/>
      <c r="R280" s="1570"/>
      <c r="S280" s="1570"/>
      <c r="T280" s="1570"/>
      <c r="U280" s="1570"/>
      <c r="V280" s="1570"/>
      <c r="W280" s="1570"/>
      <c r="X280" s="1570"/>
      <c r="Y280" s="1570"/>
      <c r="Z280" s="1570"/>
      <c r="AA280" s="1570"/>
      <c r="AB280" s="1570"/>
      <c r="AC280" s="1570"/>
      <c r="AD280" s="1570"/>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5" t="s">
        <v>540</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09" t="str">
        <f>'[1]Data Port'!$G$128</f>
        <v>American Housing Company 1 LLC</v>
      </c>
      <c r="I287" s="1409"/>
      <c r="J287" s="1409"/>
      <c r="K287" s="1409"/>
      <c r="L287" s="1409"/>
      <c r="M287" s="1409"/>
      <c r="N287" s="1409"/>
      <c r="O287" s="1409"/>
      <c r="P287" s="1409"/>
      <c r="Q287" s="1409"/>
      <c r="R287" s="1409"/>
      <c r="T287" s="3" t="s">
        <v>566</v>
      </c>
      <c r="V287" s="3"/>
      <c r="W287" s="3"/>
      <c r="X287" s="3"/>
      <c r="Y287" s="3"/>
      <c r="AA287" s="1409" t="str">
        <f>'[1]Data Port'!$G$136</f>
        <v>oWOW Design LLC</v>
      </c>
      <c r="AB287" s="1409"/>
      <c r="AC287" s="1409"/>
      <c r="AD287" s="1409"/>
      <c r="AE287" s="1409"/>
      <c r="AF287" s="1409"/>
      <c r="AG287" s="1409"/>
      <c r="AH287" s="1409"/>
      <c r="AI287" s="1409"/>
      <c r="AJ287" s="1409"/>
      <c r="AK287" s="1409"/>
    </row>
    <row r="288" spans="1:51" ht="12.95" customHeight="1">
      <c r="B288" s="3" t="s">
        <v>470</v>
      </c>
      <c r="C288" s="3"/>
      <c r="D288" s="3"/>
      <c r="E288" s="3"/>
      <c r="F288" s="3"/>
      <c r="H288" s="1372" t="str">
        <f>'[1]Data Port'!$G$129</f>
        <v>411 2nd Street</v>
      </c>
      <c r="I288" s="1372"/>
      <c r="J288" s="1372"/>
      <c r="K288" s="1372"/>
      <c r="L288" s="1372"/>
      <c r="M288" s="1372"/>
      <c r="N288" s="1372"/>
      <c r="O288" s="1372"/>
      <c r="P288" s="1372"/>
      <c r="Q288" s="1372"/>
      <c r="R288" s="1372"/>
      <c r="T288" s="3" t="s">
        <v>470</v>
      </c>
      <c r="V288" s="3"/>
      <c r="W288" s="3"/>
      <c r="X288" s="3"/>
      <c r="Y288" s="3"/>
      <c r="AA288" s="1372" t="str">
        <f>'[1]Data Port'!$G$137</f>
        <v>411 2nd Street</v>
      </c>
      <c r="AB288" s="1372"/>
      <c r="AC288" s="1372"/>
      <c r="AD288" s="1372"/>
      <c r="AE288" s="1372"/>
      <c r="AF288" s="1372"/>
      <c r="AG288" s="1372"/>
      <c r="AH288" s="1372"/>
      <c r="AI288" s="1372"/>
      <c r="AJ288" s="1372"/>
      <c r="AK288" s="1372"/>
    </row>
    <row r="289" spans="2:37" ht="12.95" customHeight="1">
      <c r="B289" s="3" t="s">
        <v>471</v>
      </c>
      <c r="C289" s="3"/>
      <c r="D289" s="3"/>
      <c r="E289" s="3"/>
      <c r="F289" s="3"/>
      <c r="H289" s="1372" t="str">
        <f>'[1]Data Port'!$G$130</f>
        <v>Oakland, CA 94607</v>
      </c>
      <c r="I289" s="1372"/>
      <c r="J289" s="1372"/>
      <c r="K289" s="1372"/>
      <c r="L289" s="1372"/>
      <c r="M289" s="1372"/>
      <c r="N289" s="1372"/>
      <c r="O289" s="1372"/>
      <c r="P289" s="1372"/>
      <c r="Q289" s="1372"/>
      <c r="R289" s="1372"/>
      <c r="T289" s="3" t="s">
        <v>75</v>
      </c>
      <c r="V289" s="3"/>
      <c r="W289" s="3"/>
      <c r="X289" s="3"/>
      <c r="Y289" s="3"/>
      <c r="AA289" s="1372" t="str">
        <f>'[1]Data Port'!$G$138</f>
        <v>Oakland, CA 94607</v>
      </c>
      <c r="AB289" s="1372"/>
      <c r="AC289" s="1372"/>
      <c r="AD289" s="1372"/>
      <c r="AE289" s="1372"/>
      <c r="AF289" s="1372"/>
      <c r="AG289" s="1372"/>
      <c r="AH289" s="1372"/>
      <c r="AI289" s="1372"/>
      <c r="AJ289" s="1372"/>
      <c r="AK289" s="1372"/>
    </row>
    <row r="290" spans="2:37" ht="12.95" customHeight="1">
      <c r="B290" s="3" t="s">
        <v>87</v>
      </c>
      <c r="C290" s="3"/>
      <c r="D290" s="3"/>
      <c r="E290" s="3"/>
      <c r="F290" s="3"/>
      <c r="H290" s="1372" t="str">
        <f>'[1]Data Port'!$G$131</f>
        <v>Jeremy Harris</v>
      </c>
      <c r="I290" s="1372"/>
      <c r="J290" s="1372"/>
      <c r="K290" s="1372"/>
      <c r="L290" s="1372"/>
      <c r="M290" s="1372"/>
      <c r="N290" s="1372"/>
      <c r="O290" s="1372"/>
      <c r="P290" s="1372"/>
      <c r="Q290" s="1372"/>
      <c r="R290" s="1372"/>
      <c r="T290" s="3" t="s">
        <v>87</v>
      </c>
      <c r="V290" s="3"/>
      <c r="W290" s="3"/>
      <c r="X290" s="3"/>
      <c r="Y290" s="3"/>
      <c r="AA290" s="1372" t="str">
        <f>'[1]Data Port'!$G$139</f>
        <v>Mike Baker</v>
      </c>
      <c r="AB290" s="1372"/>
      <c r="AC290" s="1372"/>
      <c r="AD290" s="1372"/>
      <c r="AE290" s="1372"/>
      <c r="AF290" s="1372"/>
      <c r="AG290" s="1372"/>
      <c r="AH290" s="1372"/>
      <c r="AI290" s="1372"/>
      <c r="AJ290" s="1372"/>
      <c r="AK290" s="1372"/>
    </row>
    <row r="291" spans="2:37" ht="12.95" customHeight="1">
      <c r="B291" s="3" t="s">
        <v>88</v>
      </c>
      <c r="C291" s="3"/>
      <c r="D291" s="3"/>
      <c r="E291" s="3"/>
      <c r="F291" s="3"/>
      <c r="G291" s="3"/>
      <c r="H291" s="1544">
        <f>'[1]Data Port'!$G$132</f>
        <v>8584495270</v>
      </c>
      <c r="I291" s="1544"/>
      <c r="J291" s="1544"/>
      <c r="K291" s="1544"/>
      <c r="L291" s="1544"/>
      <c r="M291" s="1544"/>
      <c r="N291" s="4" t="s">
        <v>206</v>
      </c>
      <c r="O291" s="4"/>
      <c r="P291" s="1527"/>
      <c r="Q291" s="1527"/>
      <c r="R291" s="1527"/>
      <c r="S291" s="3"/>
      <c r="T291" s="3" t="s">
        <v>88</v>
      </c>
      <c r="V291" s="3"/>
      <c r="W291" s="3"/>
      <c r="X291" s="3"/>
      <c r="Y291" s="3"/>
      <c r="AA291" s="1544" t="str">
        <f>'[1]Data Port'!$G$140</f>
        <v>(510) 214-3829‬</v>
      </c>
      <c r="AB291" s="1544"/>
      <c r="AC291" s="1544"/>
      <c r="AD291" s="1544"/>
      <c r="AE291" s="1544"/>
      <c r="AF291" s="1544"/>
      <c r="AG291" s="4" t="s">
        <v>206</v>
      </c>
      <c r="AH291" s="4"/>
      <c r="AI291" s="1527"/>
      <c r="AJ291" s="1527"/>
      <c r="AK291" s="1527"/>
    </row>
    <row r="292" spans="2:37" ht="12.95" customHeight="1">
      <c r="B292" s="3" t="s">
        <v>89</v>
      </c>
      <c r="C292" s="3"/>
      <c r="D292" s="3"/>
      <c r="E292" s="3"/>
      <c r="F292" s="3"/>
      <c r="G292" s="3"/>
      <c r="H292" s="1489">
        <f>'[1]Data Port'!$G$133</f>
        <v>0</v>
      </c>
      <c r="I292" s="1489"/>
      <c r="J292" s="1489"/>
      <c r="K292" s="1489"/>
      <c r="L292" s="1489"/>
      <c r="M292" s="1489"/>
      <c r="N292" s="4"/>
      <c r="O292" s="4"/>
      <c r="P292" s="35"/>
      <c r="Q292" s="35"/>
      <c r="R292" s="35"/>
      <c r="S292" s="3"/>
      <c r="T292" s="3" t="s">
        <v>89</v>
      </c>
      <c r="V292" s="3"/>
      <c r="W292" s="3"/>
      <c r="X292" s="3"/>
      <c r="Y292" s="3"/>
      <c r="AA292" s="1489">
        <f>'[1]Data Port'!$G$141</f>
        <v>0</v>
      </c>
      <c r="AB292" s="1489"/>
      <c r="AC292" s="1489"/>
      <c r="AD292" s="1489"/>
      <c r="AE292" s="1489"/>
      <c r="AF292" s="1489"/>
      <c r="AG292" s="4"/>
      <c r="AH292" s="4"/>
      <c r="AI292" s="35"/>
      <c r="AJ292" s="35"/>
      <c r="AK292" s="35"/>
    </row>
    <row r="293" spans="2:37" ht="12.95" customHeight="1">
      <c r="B293" s="3" t="s">
        <v>76</v>
      </c>
      <c r="C293" s="3"/>
      <c r="D293" s="3"/>
      <c r="E293" s="3"/>
      <c r="F293" s="3"/>
      <c r="G293" s="3"/>
      <c r="H293" s="1372" t="str">
        <f>'[1]Data Port'!$G$134</f>
        <v>jeremy@owow.com</v>
      </c>
      <c r="I293" s="1372"/>
      <c r="J293" s="1372"/>
      <c r="K293" s="1372"/>
      <c r="L293" s="1372"/>
      <c r="M293" s="1372"/>
      <c r="N293" s="1409"/>
      <c r="O293" s="1409"/>
      <c r="P293" s="1409"/>
      <c r="Q293" s="1409"/>
      <c r="R293" s="1409"/>
      <c r="S293" s="3"/>
      <c r="T293" s="3" t="s">
        <v>76</v>
      </c>
      <c r="V293" s="3"/>
      <c r="W293" s="3"/>
      <c r="X293" s="3"/>
      <c r="Y293" s="3"/>
      <c r="AA293" s="1372" t="str">
        <f>'[1]Data Port'!$G$142</f>
        <v>mike.baker@owow.com</v>
      </c>
      <c r="AB293" s="1372"/>
      <c r="AC293" s="1372"/>
      <c r="AD293" s="1372"/>
      <c r="AE293" s="1372"/>
      <c r="AF293" s="1372"/>
      <c r="AG293" s="1409"/>
      <c r="AH293" s="1409"/>
      <c r="AI293" s="1409"/>
      <c r="AJ293" s="1409"/>
      <c r="AK293" s="140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9" t="str">
        <f>'[1]Data Port'!$G$144</f>
        <v>Sabelhaus &amp; Strain PC</v>
      </c>
      <c r="I295" s="1409"/>
      <c r="J295" s="1409"/>
      <c r="K295" s="1409"/>
      <c r="L295" s="1409"/>
      <c r="M295" s="1409"/>
      <c r="N295" s="1409"/>
      <c r="O295" s="1409"/>
      <c r="P295" s="1409"/>
      <c r="Q295" s="1409"/>
      <c r="R295" s="1409"/>
      <c r="T295" s="3" t="s">
        <v>364</v>
      </c>
      <c r="V295" s="3"/>
      <c r="W295" s="3"/>
      <c r="X295" s="3"/>
      <c r="Y295" s="3"/>
      <c r="AA295" s="1409" t="str">
        <f>'[1]Data Port'!$G$152</f>
        <v>oWOW Construction</v>
      </c>
      <c r="AB295" s="1409"/>
      <c r="AC295" s="1409"/>
      <c r="AD295" s="1409"/>
      <c r="AE295" s="1409"/>
      <c r="AF295" s="1409"/>
      <c r="AG295" s="1409"/>
      <c r="AH295" s="1409"/>
      <c r="AI295" s="1409"/>
      <c r="AJ295" s="1409"/>
      <c r="AK295" s="1409"/>
    </row>
    <row r="296" spans="2:37" ht="12.95" customHeight="1">
      <c r="B296" s="3" t="s">
        <v>470</v>
      </c>
      <c r="C296" s="3"/>
      <c r="D296" s="3"/>
      <c r="E296" s="3"/>
      <c r="F296" s="3"/>
      <c r="H296" s="1372" t="str">
        <f>'[1]Data Port'!$G$145</f>
        <v>1724 10th Street, Suite 110</v>
      </c>
      <c r="I296" s="1372"/>
      <c r="J296" s="1372"/>
      <c r="K296" s="1372"/>
      <c r="L296" s="1372"/>
      <c r="M296" s="1372"/>
      <c r="N296" s="1372"/>
      <c r="O296" s="1372"/>
      <c r="P296" s="1372"/>
      <c r="Q296" s="1372"/>
      <c r="R296" s="1372"/>
      <c r="T296" s="3" t="s">
        <v>470</v>
      </c>
      <c r="V296" s="3"/>
      <c r="W296" s="3"/>
      <c r="X296" s="3"/>
      <c r="Y296" s="3"/>
      <c r="AA296" s="1372" t="str">
        <f>'[1]Data Port'!$G$153</f>
        <v>411 2nd Street</v>
      </c>
      <c r="AB296" s="1372"/>
      <c r="AC296" s="1372"/>
      <c r="AD296" s="1372"/>
      <c r="AE296" s="1372"/>
      <c r="AF296" s="1372"/>
      <c r="AG296" s="1372"/>
      <c r="AH296" s="1372"/>
      <c r="AI296" s="1372"/>
      <c r="AJ296" s="1372"/>
      <c r="AK296" s="1372"/>
    </row>
    <row r="297" spans="2:37" ht="12.95" customHeight="1">
      <c r="B297" s="3" t="s">
        <v>471</v>
      </c>
      <c r="C297" s="3"/>
      <c r="D297" s="3"/>
      <c r="E297" s="3"/>
      <c r="F297" s="3"/>
      <c r="H297" s="1372" t="str">
        <f>'[1]Data Port'!$G$146</f>
        <v>Sacramento, CA 95811</v>
      </c>
      <c r="I297" s="1372"/>
      <c r="J297" s="1372"/>
      <c r="K297" s="1372"/>
      <c r="L297" s="1372"/>
      <c r="M297" s="1372"/>
      <c r="N297" s="1372"/>
      <c r="O297" s="1372"/>
      <c r="P297" s="1372"/>
      <c r="Q297" s="1372"/>
      <c r="R297" s="1372"/>
      <c r="T297" s="3" t="s">
        <v>75</v>
      </c>
      <c r="V297" s="3"/>
      <c r="W297" s="3"/>
      <c r="X297" s="3"/>
      <c r="Y297" s="3"/>
      <c r="AA297" s="1372" t="str">
        <f>'[1]Data Port'!$G$154</f>
        <v>Oakland, CA 94607</v>
      </c>
      <c r="AB297" s="1372"/>
      <c r="AC297" s="1372"/>
      <c r="AD297" s="1372"/>
      <c r="AE297" s="1372"/>
      <c r="AF297" s="1372"/>
      <c r="AG297" s="1372"/>
      <c r="AH297" s="1372"/>
      <c r="AI297" s="1372"/>
      <c r="AJ297" s="1372"/>
      <c r="AK297" s="1372"/>
    </row>
    <row r="298" spans="2:37" ht="12.95" customHeight="1">
      <c r="B298" s="3" t="s">
        <v>87</v>
      </c>
      <c r="C298" s="3"/>
      <c r="D298" s="3"/>
      <c r="E298" s="3"/>
      <c r="F298" s="3"/>
      <c r="H298" s="1372" t="str">
        <f>'[1]Data Port'!$G$147</f>
        <v>Stephen A. Strain</v>
      </c>
      <c r="I298" s="1372"/>
      <c r="J298" s="1372"/>
      <c r="K298" s="1372"/>
      <c r="L298" s="1372"/>
      <c r="M298" s="1372"/>
      <c r="N298" s="1372"/>
      <c r="O298" s="1372"/>
      <c r="P298" s="1372"/>
      <c r="Q298" s="1372"/>
      <c r="R298" s="1372"/>
      <c r="T298" s="3" t="s">
        <v>87</v>
      </c>
      <c r="V298" s="3"/>
      <c r="W298" s="3"/>
      <c r="X298" s="3"/>
      <c r="Y298" s="3"/>
      <c r="AA298" s="1372" t="str">
        <f>'[1]Data Port'!$G$155</f>
        <v>Andy Ball</v>
      </c>
      <c r="AB298" s="1372"/>
      <c r="AC298" s="1372"/>
      <c r="AD298" s="1372"/>
      <c r="AE298" s="1372"/>
      <c r="AF298" s="1372"/>
      <c r="AG298" s="1372"/>
      <c r="AH298" s="1372"/>
      <c r="AI298" s="1372"/>
      <c r="AJ298" s="1372"/>
      <c r="AK298" s="1372"/>
    </row>
    <row r="299" spans="2:37" ht="12.95" customHeight="1">
      <c r="B299" s="3" t="s">
        <v>88</v>
      </c>
      <c r="C299" s="3"/>
      <c r="D299" s="3"/>
      <c r="E299" s="3"/>
      <c r="F299" s="3"/>
      <c r="G299" s="3"/>
      <c r="H299" s="1544" t="str">
        <f>'[1]Data Port'!$G$148</f>
        <v>916.444.0286</v>
      </c>
      <c r="I299" s="1544"/>
      <c r="J299" s="1544"/>
      <c r="K299" s="1544"/>
      <c r="L299" s="1544"/>
      <c r="M299" s="1544"/>
      <c r="N299" s="4" t="s">
        <v>206</v>
      </c>
      <c r="O299" s="4"/>
      <c r="P299" s="1527"/>
      <c r="Q299" s="1527"/>
      <c r="R299" s="1527"/>
      <c r="S299" s="3"/>
      <c r="T299" s="3" t="s">
        <v>88</v>
      </c>
      <c r="V299" s="3"/>
      <c r="W299" s="3"/>
      <c r="X299" s="3"/>
      <c r="Y299" s="3"/>
      <c r="AA299" s="1544">
        <f>'[1]Data Port'!$G$156</f>
        <v>6504520268</v>
      </c>
      <c r="AB299" s="1544"/>
      <c r="AC299" s="1544"/>
      <c r="AD299" s="1544"/>
      <c r="AE299" s="1544"/>
      <c r="AF299" s="1544"/>
      <c r="AG299" s="4" t="s">
        <v>206</v>
      </c>
      <c r="AH299" s="4"/>
      <c r="AI299" s="1527"/>
      <c r="AJ299" s="1527"/>
      <c r="AK299" s="1527"/>
    </row>
    <row r="300" spans="2:37" ht="12.95" customHeight="1">
      <c r="B300" s="3" t="s">
        <v>89</v>
      </c>
      <c r="C300" s="3"/>
      <c r="D300" s="3"/>
      <c r="E300" s="3"/>
      <c r="F300" s="3"/>
      <c r="G300" s="3"/>
      <c r="H300" s="1489">
        <f>'[1]Data Port'!$G$149</f>
        <v>0</v>
      </c>
      <c r="I300" s="1489"/>
      <c r="J300" s="1489"/>
      <c r="K300" s="1489"/>
      <c r="L300" s="1489"/>
      <c r="M300" s="1489"/>
      <c r="N300" s="4"/>
      <c r="O300" s="4"/>
      <c r="P300" s="35"/>
      <c r="Q300" s="35"/>
      <c r="R300" s="35"/>
      <c r="S300" s="3"/>
      <c r="T300" s="3" t="s">
        <v>89</v>
      </c>
      <c r="V300" s="3"/>
      <c r="W300" s="3"/>
      <c r="X300" s="3"/>
      <c r="Y300" s="3"/>
      <c r="AA300" s="1489">
        <f>'[1]Data Port'!$G$157</f>
        <v>0</v>
      </c>
      <c r="AB300" s="1489"/>
      <c r="AC300" s="1489"/>
      <c r="AD300" s="1489"/>
      <c r="AE300" s="1489"/>
      <c r="AF300" s="1489"/>
      <c r="AG300" s="4"/>
      <c r="AH300" s="4"/>
      <c r="AI300" s="35"/>
      <c r="AJ300" s="35"/>
      <c r="AK300" s="35"/>
    </row>
    <row r="301" spans="2:37" ht="12.95" customHeight="1">
      <c r="B301" s="3" t="s">
        <v>76</v>
      </c>
      <c r="C301" s="3"/>
      <c r="D301" s="3"/>
      <c r="E301" s="3"/>
      <c r="F301" s="3"/>
      <c r="G301" s="3"/>
      <c r="H301" s="1372" t="str">
        <f>'[1]Data Port'!$G$150</f>
        <v>sstrain@sabelhauslaw.com</v>
      </c>
      <c r="I301" s="1372"/>
      <c r="J301" s="1372"/>
      <c r="K301" s="1372"/>
      <c r="L301" s="1372"/>
      <c r="M301" s="1372"/>
      <c r="N301" s="1409"/>
      <c r="O301" s="1409"/>
      <c r="P301" s="1409"/>
      <c r="Q301" s="1409"/>
      <c r="R301" s="1409"/>
      <c r="S301" s="3"/>
      <c r="T301" s="3" t="s">
        <v>76</v>
      </c>
      <c r="V301" s="3"/>
      <c r="W301" s="3"/>
      <c r="X301" s="3"/>
      <c r="Y301" s="3"/>
      <c r="AA301" s="1372" t="str">
        <f>'[1]Data Port'!$G$158</f>
        <v>andy@owow.com</v>
      </c>
      <c r="AB301" s="1372"/>
      <c r="AC301" s="1372"/>
      <c r="AD301" s="1372"/>
      <c r="AE301" s="1372"/>
      <c r="AF301" s="1372"/>
      <c r="AG301" s="1409"/>
      <c r="AH301" s="1409"/>
      <c r="AI301" s="1409"/>
      <c r="AJ301" s="1409"/>
      <c r="AK301" s="1409"/>
    </row>
    <row r="302" spans="2:37" ht="12.95" customHeight="1"/>
    <row r="303" spans="2:37" ht="12.95" customHeight="1">
      <c r="B303" s="3" t="s">
        <v>77</v>
      </c>
      <c r="C303" s="3"/>
      <c r="D303" s="3"/>
      <c r="E303" s="3"/>
      <c r="F303" s="3"/>
      <c r="H303" s="1409" t="str">
        <f>'[1]Data Port'!$G$160</f>
        <v>Bernard E. REA, CPA</v>
      </c>
      <c r="I303" s="1409"/>
      <c r="J303" s="1409"/>
      <c r="K303" s="1409"/>
      <c r="L303" s="1409"/>
      <c r="M303" s="1409"/>
      <c r="N303" s="1409"/>
      <c r="O303" s="1409"/>
      <c r="P303" s="1409"/>
      <c r="Q303" s="1409"/>
      <c r="R303" s="1409"/>
      <c r="T303" s="4" t="s">
        <v>877</v>
      </c>
      <c r="V303" s="3"/>
      <c r="W303" s="3"/>
      <c r="X303" s="3"/>
      <c r="Y303" s="3"/>
      <c r="AA303" s="1409" t="str">
        <f>'[1]Data Port'!$G$168</f>
        <v>FARD Engineers</v>
      </c>
      <c r="AB303" s="1409"/>
      <c r="AC303" s="1409"/>
      <c r="AD303" s="1409"/>
      <c r="AE303" s="1409"/>
      <c r="AF303" s="1409"/>
      <c r="AG303" s="1409"/>
      <c r="AH303" s="1409"/>
      <c r="AI303" s="1409"/>
      <c r="AJ303" s="1409"/>
      <c r="AK303" s="1409"/>
    </row>
    <row r="304" spans="2:37" ht="12.95" customHeight="1">
      <c r="B304" s="3" t="s">
        <v>470</v>
      </c>
      <c r="C304" s="3"/>
      <c r="D304" s="3"/>
      <c r="E304" s="3"/>
      <c r="F304" s="3"/>
      <c r="H304" s="1372" t="str">
        <f>'[1]Data Port'!$G$161</f>
        <v>P.O. Box 492</v>
      </c>
      <c r="I304" s="1372"/>
      <c r="J304" s="1372"/>
      <c r="K304" s="1372"/>
      <c r="L304" s="1372"/>
      <c r="M304" s="1372"/>
      <c r="N304" s="1372"/>
      <c r="O304" s="1372"/>
      <c r="P304" s="1372"/>
      <c r="Q304" s="1372"/>
      <c r="R304" s="1372"/>
      <c r="T304" s="3" t="s">
        <v>470</v>
      </c>
      <c r="V304" s="3"/>
      <c r="W304" s="3"/>
      <c r="X304" s="3"/>
      <c r="Y304" s="3"/>
      <c r="AA304" s="1372" t="str">
        <f>'[1]Data Port'!$G$169</f>
        <v>200 Gregory Lane, Building A</v>
      </c>
      <c r="AB304" s="1372"/>
      <c r="AC304" s="1372"/>
      <c r="AD304" s="1372"/>
      <c r="AE304" s="1372"/>
      <c r="AF304" s="1372"/>
      <c r="AG304" s="1372"/>
      <c r="AH304" s="1372"/>
      <c r="AI304" s="1372"/>
      <c r="AJ304" s="1372"/>
      <c r="AK304" s="1372"/>
    </row>
    <row r="305" spans="2:37" ht="12.95" customHeight="1">
      <c r="B305" s="3" t="s">
        <v>471</v>
      </c>
      <c r="C305" s="3"/>
      <c r="D305" s="3"/>
      <c r="E305" s="3"/>
      <c r="F305" s="3"/>
      <c r="H305" s="1372" t="str">
        <f>'[1]Data Port'!$G$162</f>
        <v>Aubrey, TX 76227</v>
      </c>
      <c r="I305" s="1372"/>
      <c r="J305" s="1372"/>
      <c r="K305" s="1372"/>
      <c r="L305" s="1372"/>
      <c r="M305" s="1372"/>
      <c r="N305" s="1372"/>
      <c r="O305" s="1372"/>
      <c r="P305" s="1372"/>
      <c r="Q305" s="1372"/>
      <c r="R305" s="1372"/>
      <c r="T305" s="3" t="s">
        <v>75</v>
      </c>
      <c r="V305" s="3"/>
      <c r="W305" s="3"/>
      <c r="X305" s="3"/>
      <c r="Y305" s="3"/>
      <c r="AA305" s="1372" t="str">
        <f>'[1]Data Port'!$G$170</f>
        <v>Pleasant Hill, CA 94523</v>
      </c>
      <c r="AB305" s="1372"/>
      <c r="AC305" s="1372"/>
      <c r="AD305" s="1372"/>
      <c r="AE305" s="1372"/>
      <c r="AF305" s="1372"/>
      <c r="AG305" s="1372"/>
      <c r="AH305" s="1372"/>
      <c r="AI305" s="1372"/>
      <c r="AJ305" s="1372"/>
      <c r="AK305" s="1372"/>
    </row>
    <row r="306" spans="2:37" ht="12.95" customHeight="1">
      <c r="B306" s="3" t="s">
        <v>87</v>
      </c>
      <c r="C306" s="3"/>
      <c r="D306" s="3"/>
      <c r="E306" s="3"/>
      <c r="F306" s="3"/>
      <c r="H306" s="1372" t="str">
        <f>'[1]Data Port'!$G$163</f>
        <v>Bernard E. REA</v>
      </c>
      <c r="I306" s="1372"/>
      <c r="J306" s="1372"/>
      <c r="K306" s="1372"/>
      <c r="L306" s="1372"/>
      <c r="M306" s="1372"/>
      <c r="N306" s="1372"/>
      <c r="O306" s="1372"/>
      <c r="P306" s="1372"/>
      <c r="Q306" s="1372"/>
      <c r="R306" s="1372"/>
      <c r="T306" s="3" t="s">
        <v>87</v>
      </c>
      <c r="V306" s="3"/>
      <c r="W306" s="3"/>
      <c r="X306" s="3"/>
      <c r="Y306" s="3"/>
      <c r="AA306" s="1372" t="str">
        <f>'[1]Data Port'!$G$171</f>
        <v>Avery Colter</v>
      </c>
      <c r="AB306" s="1372"/>
      <c r="AC306" s="1372"/>
      <c r="AD306" s="1372"/>
      <c r="AE306" s="1372"/>
      <c r="AF306" s="1372"/>
      <c r="AG306" s="1372"/>
      <c r="AH306" s="1372"/>
      <c r="AI306" s="1372"/>
      <c r="AJ306" s="1372"/>
      <c r="AK306" s="1372"/>
    </row>
    <row r="307" spans="2:37" ht="12.95" customHeight="1">
      <c r="B307" s="3" t="s">
        <v>88</v>
      </c>
      <c r="C307" s="3"/>
      <c r="D307" s="3"/>
      <c r="E307" s="3"/>
      <c r="F307" s="3"/>
      <c r="G307" s="3"/>
      <c r="H307" s="1544" t="str">
        <f>'[1]Data Port'!$G$164</f>
        <v>209.933.9113</v>
      </c>
      <c r="I307" s="1544"/>
      <c r="J307" s="1544"/>
      <c r="K307" s="1544"/>
      <c r="L307" s="1544"/>
      <c r="M307" s="1544"/>
      <c r="N307" s="4" t="s">
        <v>206</v>
      </c>
      <c r="O307" s="4"/>
      <c r="P307" s="1527"/>
      <c r="Q307" s="1527"/>
      <c r="R307" s="1527"/>
      <c r="S307" s="3"/>
      <c r="T307" s="3" t="s">
        <v>88</v>
      </c>
      <c r="V307" s="3"/>
      <c r="W307" s="3"/>
      <c r="X307" s="3"/>
      <c r="Y307" s="3"/>
      <c r="AA307" s="1544" t="str">
        <f>'[1]Data Port'!$G$172</f>
        <v>925.446.6185</v>
      </c>
      <c r="AB307" s="1544"/>
      <c r="AC307" s="1544"/>
      <c r="AD307" s="1544"/>
      <c r="AE307" s="1544"/>
      <c r="AF307" s="1544"/>
      <c r="AG307" s="4" t="s">
        <v>206</v>
      </c>
      <c r="AH307" s="4"/>
      <c r="AI307" s="1527"/>
      <c r="AJ307" s="1527"/>
      <c r="AK307" s="1527"/>
    </row>
    <row r="308" spans="2:37" ht="12.95" customHeight="1">
      <c r="B308" s="3" t="s">
        <v>89</v>
      </c>
      <c r="C308" s="3"/>
      <c r="D308" s="3"/>
      <c r="E308" s="3"/>
      <c r="F308" s="3"/>
      <c r="G308" s="3"/>
      <c r="H308" s="1489">
        <f>'[1]Data Port'!$G$165</f>
        <v>0</v>
      </c>
      <c r="I308" s="1489"/>
      <c r="J308" s="1489"/>
      <c r="K308" s="1489"/>
      <c r="L308" s="1489"/>
      <c r="M308" s="1489"/>
      <c r="N308" s="4"/>
      <c r="O308" s="4"/>
      <c r="P308" s="35"/>
      <c r="Q308" s="35"/>
      <c r="R308" s="35"/>
      <c r="S308" s="3"/>
      <c r="T308" s="3" t="s">
        <v>89</v>
      </c>
      <c r="V308" s="3"/>
      <c r="W308" s="3"/>
      <c r="X308" s="3"/>
      <c r="Y308" s="3"/>
      <c r="AA308" s="1489">
        <f>'[1]Data Port'!$G$173</f>
        <v>0</v>
      </c>
      <c r="AB308" s="1489"/>
      <c r="AC308" s="1489"/>
      <c r="AD308" s="1489"/>
      <c r="AE308" s="1489"/>
      <c r="AF308" s="1489"/>
      <c r="AG308" s="4"/>
      <c r="AH308" s="4"/>
      <c r="AI308" s="35"/>
      <c r="AJ308" s="35"/>
      <c r="AK308" s="35"/>
    </row>
    <row r="309" spans="2:37" ht="12.95" customHeight="1">
      <c r="B309" s="3" t="s">
        <v>76</v>
      </c>
      <c r="C309" s="3"/>
      <c r="D309" s="3"/>
      <c r="E309" s="3"/>
      <c r="F309" s="3"/>
      <c r="G309" s="3"/>
      <c r="H309" s="1372" t="str">
        <f>'[1]Data Port'!$G$166</f>
        <v>BReaCPA@AOL.com</v>
      </c>
      <c r="I309" s="1372"/>
      <c r="J309" s="1372"/>
      <c r="K309" s="1372"/>
      <c r="L309" s="1372"/>
      <c r="M309" s="1372"/>
      <c r="N309" s="1409"/>
      <c r="O309" s="1409"/>
      <c r="P309" s="1409"/>
      <c r="Q309" s="1409"/>
      <c r="R309" s="1409"/>
      <c r="S309" s="3"/>
      <c r="T309" s="3" t="s">
        <v>76</v>
      </c>
      <c r="V309" s="3"/>
      <c r="W309" s="3"/>
      <c r="X309" s="3"/>
      <c r="Y309" s="3"/>
      <c r="AA309" s="1372" t="str">
        <f>'[1]Data Port'!$G$174</f>
        <v>avery@fard.com</v>
      </c>
      <c r="AB309" s="1372"/>
      <c r="AC309" s="1372"/>
      <c r="AD309" s="1372"/>
      <c r="AE309" s="1372"/>
      <c r="AF309" s="1372"/>
      <c r="AG309" s="1409"/>
      <c r="AH309" s="1409"/>
      <c r="AI309" s="1409"/>
      <c r="AJ309" s="1409"/>
      <c r="AK309" s="140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09" t="str">
        <f>'[1]Data Port'!$G$176</f>
        <v>Bernard E. REA, CPA</v>
      </c>
      <c r="I311" s="1409"/>
      <c r="J311" s="1409"/>
      <c r="K311" s="1409"/>
      <c r="L311" s="1409"/>
      <c r="M311" s="1409"/>
      <c r="N311" s="1409"/>
      <c r="O311" s="1409"/>
      <c r="P311" s="1409"/>
      <c r="Q311" s="1409"/>
      <c r="R311" s="1409"/>
      <c r="S311" s="3"/>
      <c r="T311" s="3" t="s">
        <v>365</v>
      </c>
      <c r="V311" s="3"/>
      <c r="W311" s="3"/>
      <c r="X311" s="3"/>
      <c r="Y311" s="3"/>
      <c r="AA311" s="1409" t="str">
        <f>'[1]Data Port'!$G$184</f>
        <v>Key CDC</v>
      </c>
      <c r="AB311" s="1409"/>
      <c r="AC311" s="1409"/>
      <c r="AD311" s="1409"/>
      <c r="AE311" s="1409"/>
      <c r="AF311" s="1409"/>
      <c r="AG311" s="1409"/>
      <c r="AH311" s="1409"/>
      <c r="AI311" s="1409"/>
      <c r="AJ311" s="1409"/>
      <c r="AK311" s="1409"/>
    </row>
    <row r="312" spans="2:37" ht="12.95" customHeight="1">
      <c r="B312" s="3" t="s">
        <v>470</v>
      </c>
      <c r="C312" s="3"/>
      <c r="D312" s="3"/>
      <c r="E312" s="3"/>
      <c r="F312" s="3"/>
      <c r="H312" s="1372" t="str">
        <f>'[1]Data Port'!$G$177</f>
        <v>P.O. Box 492</v>
      </c>
      <c r="I312" s="1372"/>
      <c r="J312" s="1372"/>
      <c r="K312" s="1372"/>
      <c r="L312" s="1372"/>
      <c r="M312" s="1372"/>
      <c r="N312" s="1372"/>
      <c r="O312" s="1372"/>
      <c r="P312" s="1372"/>
      <c r="Q312" s="1372"/>
      <c r="R312" s="1372"/>
      <c r="S312" s="3"/>
      <c r="T312" s="3" t="s">
        <v>470</v>
      </c>
      <c r="V312" s="3"/>
      <c r="W312" s="3"/>
      <c r="X312" s="3"/>
      <c r="Y312" s="3"/>
      <c r="AA312" s="1372" t="str">
        <f>'[1]Data Port'!$G$185</f>
        <v>1675 Broadway</v>
      </c>
      <c r="AB312" s="1372"/>
      <c r="AC312" s="1372"/>
      <c r="AD312" s="1372"/>
      <c r="AE312" s="1372"/>
      <c r="AF312" s="1372"/>
      <c r="AG312" s="1372"/>
      <c r="AH312" s="1372"/>
      <c r="AI312" s="1372"/>
      <c r="AJ312" s="1372"/>
      <c r="AK312" s="1372"/>
    </row>
    <row r="313" spans="2:37" ht="12.95" customHeight="1">
      <c r="B313" s="3" t="s">
        <v>471</v>
      </c>
      <c r="C313" s="3"/>
      <c r="D313" s="3"/>
      <c r="E313" s="3"/>
      <c r="F313" s="3"/>
      <c r="H313" s="1372" t="str">
        <f>'[1]Data Port'!$G$178</f>
        <v>Aubrey, TX 76227</v>
      </c>
      <c r="I313" s="1372"/>
      <c r="J313" s="1372"/>
      <c r="K313" s="1372"/>
      <c r="L313" s="1372"/>
      <c r="M313" s="1372"/>
      <c r="N313" s="1372"/>
      <c r="O313" s="1372"/>
      <c r="P313" s="1372"/>
      <c r="Q313" s="1372"/>
      <c r="R313" s="1372"/>
      <c r="S313" s="3"/>
      <c r="T313" s="3" t="s">
        <v>75</v>
      </c>
      <c r="V313" s="3"/>
      <c r="W313" s="3"/>
      <c r="X313" s="3"/>
      <c r="Y313" s="3"/>
      <c r="AA313" s="1372" t="str">
        <f>'[1]Data Port'!$G$186</f>
        <v>Denver, CO 80202</v>
      </c>
      <c r="AB313" s="1372"/>
      <c r="AC313" s="1372"/>
      <c r="AD313" s="1372"/>
      <c r="AE313" s="1372"/>
      <c r="AF313" s="1372"/>
      <c r="AG313" s="1372"/>
      <c r="AH313" s="1372"/>
      <c r="AI313" s="1372"/>
      <c r="AJ313" s="1372"/>
      <c r="AK313" s="1372"/>
    </row>
    <row r="314" spans="2:37" ht="12.95" customHeight="1">
      <c r="B314" s="3" t="s">
        <v>87</v>
      </c>
      <c r="C314" s="3"/>
      <c r="D314" s="3"/>
      <c r="E314" s="3"/>
      <c r="F314" s="3"/>
      <c r="H314" s="1372" t="str">
        <f>'[1]Data Port'!$G$179</f>
        <v>Bernard E. REA</v>
      </c>
      <c r="I314" s="1372"/>
      <c r="J314" s="1372"/>
      <c r="K314" s="1372"/>
      <c r="L314" s="1372"/>
      <c r="M314" s="1372"/>
      <c r="N314" s="1372"/>
      <c r="O314" s="1372"/>
      <c r="P314" s="1372"/>
      <c r="Q314" s="1372"/>
      <c r="R314" s="1372"/>
      <c r="S314" s="3"/>
      <c r="T314" s="3" t="s">
        <v>87</v>
      </c>
      <c r="V314" s="3"/>
      <c r="W314" s="3"/>
      <c r="X314" s="3"/>
      <c r="Y314" s="3"/>
      <c r="AA314" s="1372" t="str">
        <f>'[1]Data Port'!$G$187</f>
        <v>Eileen Tran</v>
      </c>
      <c r="AB314" s="1372"/>
      <c r="AC314" s="1372"/>
      <c r="AD314" s="1372"/>
      <c r="AE314" s="1372"/>
      <c r="AF314" s="1372"/>
      <c r="AG314" s="1372"/>
      <c r="AH314" s="1372"/>
      <c r="AI314" s="1372"/>
      <c r="AJ314" s="1372"/>
      <c r="AK314" s="1372"/>
    </row>
    <row r="315" spans="2:37" ht="12.95" customHeight="1">
      <c r="B315" s="3" t="s">
        <v>88</v>
      </c>
      <c r="C315" s="3"/>
      <c r="D315" s="3"/>
      <c r="E315" s="3"/>
      <c r="F315" s="3"/>
      <c r="G315" s="3"/>
      <c r="H315" s="1544" t="str">
        <f>'[1]Data Port'!$G$180</f>
        <v>209.933.9113</v>
      </c>
      <c r="I315" s="1544"/>
      <c r="J315" s="1544"/>
      <c r="K315" s="1544"/>
      <c r="L315" s="1544"/>
      <c r="M315" s="1544"/>
      <c r="N315" s="4" t="s">
        <v>206</v>
      </c>
      <c r="O315" s="4"/>
      <c r="P315" s="1527"/>
      <c r="Q315" s="1527"/>
      <c r="R315" s="1527"/>
      <c r="S315" s="3"/>
      <c r="T315" s="3" t="s">
        <v>88</v>
      </c>
      <c r="V315" s="3"/>
      <c r="W315" s="3"/>
      <c r="X315" s="3"/>
      <c r="Y315" s="3"/>
      <c r="AA315" s="1544" t="str">
        <f>'[1]Data Port'!$G$188</f>
        <v>720.904.4091</v>
      </c>
      <c r="AB315" s="1544"/>
      <c r="AC315" s="1544"/>
      <c r="AD315" s="1544"/>
      <c r="AE315" s="1544"/>
      <c r="AF315" s="1544"/>
      <c r="AG315" s="4" t="s">
        <v>206</v>
      </c>
      <c r="AH315" s="4"/>
      <c r="AI315" s="1527"/>
      <c r="AJ315" s="1527"/>
      <c r="AK315" s="1527"/>
    </row>
    <row r="316" spans="2:37" ht="12.95" customHeight="1">
      <c r="B316" s="3" t="s">
        <v>89</v>
      </c>
      <c r="C316" s="3"/>
      <c r="D316" s="3"/>
      <c r="E316" s="3"/>
      <c r="F316" s="3"/>
      <c r="G316" s="3"/>
      <c r="H316" s="1489">
        <f>'[1]Data Port'!$G$181</f>
        <v>0</v>
      </c>
      <c r="I316" s="1489"/>
      <c r="J316" s="1489"/>
      <c r="K316" s="1489"/>
      <c r="L316" s="1489"/>
      <c r="M316" s="1489"/>
      <c r="N316" s="4"/>
      <c r="O316" s="4"/>
      <c r="P316" s="35"/>
      <c r="Q316" s="35"/>
      <c r="R316" s="35"/>
      <c r="S316" s="3"/>
      <c r="T316" s="3" t="s">
        <v>89</v>
      </c>
      <c r="V316" s="3"/>
      <c r="W316" s="3"/>
      <c r="X316" s="3"/>
      <c r="Y316" s="3"/>
      <c r="AA316" s="1489">
        <f>'[1]Data Port'!$G$189</f>
        <v>0</v>
      </c>
      <c r="AB316" s="1489"/>
      <c r="AC316" s="1489"/>
      <c r="AD316" s="1489"/>
      <c r="AE316" s="1489"/>
      <c r="AF316" s="1489"/>
      <c r="AG316" s="4"/>
      <c r="AH316" s="4"/>
      <c r="AI316" s="35"/>
      <c r="AJ316" s="35"/>
      <c r="AK316" s="35"/>
    </row>
    <row r="317" spans="2:37" ht="12.95" customHeight="1">
      <c r="B317" s="3" t="s">
        <v>76</v>
      </c>
      <c r="C317" s="3"/>
      <c r="D317" s="3"/>
      <c r="E317" s="3"/>
      <c r="F317" s="3"/>
      <c r="G317" s="3"/>
      <c r="H317" s="1372" t="str">
        <f>'[1]Data Port'!$G$182</f>
        <v>BReaCPA@AOL.com</v>
      </c>
      <c r="I317" s="1372"/>
      <c r="J317" s="1372"/>
      <c r="K317" s="1372"/>
      <c r="L317" s="1372"/>
      <c r="M317" s="1372"/>
      <c r="N317" s="1409"/>
      <c r="O317" s="1409"/>
      <c r="P317" s="1409"/>
      <c r="Q317" s="1409"/>
      <c r="R317" s="1409"/>
      <c r="S317" s="3"/>
      <c r="T317" s="3" t="s">
        <v>76</v>
      </c>
      <c r="V317" s="3"/>
      <c r="W317" s="3"/>
      <c r="X317" s="3"/>
      <c r="Y317" s="3"/>
      <c r="AA317" s="1372" t="str">
        <f>'[1]Data Port'!$G$190</f>
        <v>Eileen_T_Tran@keybank.com</v>
      </c>
      <c r="AB317" s="1372"/>
      <c r="AC317" s="1372"/>
      <c r="AD317" s="1372"/>
      <c r="AE317" s="1372"/>
      <c r="AF317" s="1372"/>
      <c r="AG317" s="1409"/>
      <c r="AH317" s="1409"/>
      <c r="AI317" s="1409"/>
      <c r="AJ317" s="1409"/>
      <c r="AK317" s="1409"/>
    </row>
    <row r="318" spans="2:37" ht="12.95" customHeight="1"/>
    <row r="319" spans="2:37" ht="12.95" customHeight="1">
      <c r="B319" s="4" t="s">
        <v>907</v>
      </c>
      <c r="C319" s="3"/>
      <c r="D319" s="3"/>
      <c r="E319" s="3"/>
      <c r="F319" s="3"/>
      <c r="H319" s="1409" t="str">
        <f>'[1]Data Port'!$G$192</f>
        <v>Zen Development Consultants LLC</v>
      </c>
      <c r="I319" s="1409"/>
      <c r="J319" s="1409"/>
      <c r="K319" s="1409"/>
      <c r="L319" s="1409"/>
      <c r="M319" s="1409"/>
      <c r="N319" s="1409"/>
      <c r="O319" s="1409"/>
      <c r="P319" s="1409"/>
      <c r="Q319" s="1409"/>
      <c r="R319" s="1409"/>
      <c r="T319" s="3" t="s">
        <v>366</v>
      </c>
      <c r="V319" s="3"/>
      <c r="W319" s="3"/>
      <c r="X319" s="3"/>
      <c r="Y319" s="3"/>
      <c r="AA319" s="1409" t="str">
        <f>'[1]Data Port'!$G$200</f>
        <v>The Concord Group</v>
      </c>
      <c r="AB319" s="1409"/>
      <c r="AC319" s="1409"/>
      <c r="AD319" s="1409"/>
      <c r="AE319" s="1409"/>
      <c r="AF319" s="1409"/>
      <c r="AG319" s="1409"/>
      <c r="AH319" s="1409"/>
      <c r="AI319" s="1409"/>
      <c r="AJ319" s="1409"/>
      <c r="AK319" s="1409"/>
    </row>
    <row r="320" spans="2:37" ht="12.95" customHeight="1">
      <c r="B320" s="3" t="s">
        <v>470</v>
      </c>
      <c r="C320" s="3"/>
      <c r="D320" s="3"/>
      <c r="E320" s="3"/>
      <c r="F320" s="3"/>
      <c r="H320" s="1372" t="str">
        <f>'[1]Data Port'!$G$193</f>
        <v>222 Redwood Drive</v>
      </c>
      <c r="I320" s="1372"/>
      <c r="J320" s="1372"/>
      <c r="K320" s="1372"/>
      <c r="L320" s="1372"/>
      <c r="M320" s="1372"/>
      <c r="N320" s="1372"/>
      <c r="O320" s="1372"/>
      <c r="P320" s="1372"/>
      <c r="Q320" s="1372"/>
      <c r="R320" s="1372"/>
      <c r="T320" s="3" t="s">
        <v>470</v>
      </c>
      <c r="V320" s="3"/>
      <c r="W320" s="3"/>
      <c r="X320" s="3"/>
      <c r="Y320" s="3"/>
      <c r="AA320" s="1372" t="str">
        <f>'[1]Data Port'!$G$201</f>
        <v>140 Newport Center Drive, Suite 210</v>
      </c>
      <c r="AB320" s="1372"/>
      <c r="AC320" s="1372"/>
      <c r="AD320" s="1372"/>
      <c r="AE320" s="1372"/>
      <c r="AF320" s="1372"/>
      <c r="AG320" s="1372"/>
      <c r="AH320" s="1372"/>
      <c r="AI320" s="1372"/>
      <c r="AJ320" s="1372"/>
      <c r="AK320" s="1372"/>
    </row>
    <row r="321" spans="2:37" ht="12.95" customHeight="1">
      <c r="B321" s="3" t="s">
        <v>471</v>
      </c>
      <c r="C321" s="3"/>
      <c r="D321" s="3"/>
      <c r="E321" s="3"/>
      <c r="F321" s="3"/>
      <c r="H321" s="1372" t="str">
        <f>'[1]Data Port'!$G$194</f>
        <v>Woodacre, CA, 94973</v>
      </c>
      <c r="I321" s="1372"/>
      <c r="J321" s="1372"/>
      <c r="K321" s="1372"/>
      <c r="L321" s="1372"/>
      <c r="M321" s="1372"/>
      <c r="N321" s="1372"/>
      <c r="O321" s="1372"/>
      <c r="P321" s="1372"/>
      <c r="Q321" s="1372"/>
      <c r="R321" s="1372"/>
      <c r="T321" s="3" t="s">
        <v>75</v>
      </c>
      <c r="V321" s="3"/>
      <c r="W321" s="3"/>
      <c r="X321" s="3"/>
      <c r="Y321" s="3"/>
      <c r="AA321" s="1372" t="str">
        <f>'[1]Data Port'!$G$202</f>
        <v>Newport Beach, CA, 92660</v>
      </c>
      <c r="AB321" s="1372"/>
      <c r="AC321" s="1372"/>
      <c r="AD321" s="1372"/>
      <c r="AE321" s="1372"/>
      <c r="AF321" s="1372"/>
      <c r="AG321" s="1372"/>
      <c r="AH321" s="1372"/>
      <c r="AI321" s="1372"/>
      <c r="AJ321" s="1372"/>
      <c r="AK321" s="1372"/>
    </row>
    <row r="322" spans="2:37" ht="12.95" customHeight="1">
      <c r="B322" s="3" t="s">
        <v>87</v>
      </c>
      <c r="C322" s="3"/>
      <c r="D322" s="3"/>
      <c r="E322" s="3"/>
      <c r="F322" s="3"/>
      <c r="H322" s="1372" t="str">
        <f>'[1]Data Port'!$G$195</f>
        <v>Jeremy Hoffman</v>
      </c>
      <c r="I322" s="1372"/>
      <c r="J322" s="1372"/>
      <c r="K322" s="1372"/>
      <c r="L322" s="1372"/>
      <c r="M322" s="1372"/>
      <c r="N322" s="1372"/>
      <c r="O322" s="1372"/>
      <c r="P322" s="1372"/>
      <c r="Q322" s="1372"/>
      <c r="R322" s="1372"/>
      <c r="T322" s="3" t="s">
        <v>87</v>
      </c>
      <c r="V322" s="3"/>
      <c r="W322" s="3"/>
      <c r="X322" s="3"/>
      <c r="Y322" s="3"/>
      <c r="AA322" s="1372" t="str">
        <f>'[1]Data Port'!$G$203</f>
        <v>Brodie Dizgun</v>
      </c>
      <c r="AB322" s="1372"/>
      <c r="AC322" s="1372"/>
      <c r="AD322" s="1372"/>
      <c r="AE322" s="1372"/>
      <c r="AF322" s="1372"/>
      <c r="AG322" s="1372"/>
      <c r="AH322" s="1372"/>
      <c r="AI322" s="1372"/>
      <c r="AJ322" s="1372"/>
      <c r="AK322" s="1372"/>
    </row>
    <row r="323" spans="2:37" ht="12.95" customHeight="1">
      <c r="B323" s="3" t="s">
        <v>88</v>
      </c>
      <c r="C323" s="3"/>
      <c r="D323" s="3"/>
      <c r="E323" s="3"/>
      <c r="F323" s="3"/>
      <c r="G323" s="3"/>
      <c r="H323" s="1544" t="str">
        <f>'[1]Data Port'!$G$196</f>
        <v>818.653.3899</v>
      </c>
      <c r="I323" s="1544"/>
      <c r="J323" s="1544"/>
      <c r="K323" s="1544"/>
      <c r="L323" s="1544"/>
      <c r="M323" s="1544"/>
      <c r="N323" s="4" t="s">
        <v>206</v>
      </c>
      <c r="O323" s="4"/>
      <c r="P323" s="1527"/>
      <c r="Q323" s="1527"/>
      <c r="R323" s="1527"/>
      <c r="S323" s="3"/>
      <c r="T323" s="3" t="s">
        <v>88</v>
      </c>
      <c r="V323" s="3"/>
      <c r="W323" s="3"/>
      <c r="X323" s="3"/>
      <c r="Y323" s="3"/>
      <c r="AA323" s="1544" t="str">
        <f>'[1]Data Port'!$G$204</f>
        <v>949.717.6450</v>
      </c>
      <c r="AB323" s="1544"/>
      <c r="AC323" s="1544"/>
      <c r="AD323" s="1544"/>
      <c r="AE323" s="1544"/>
      <c r="AF323" s="1544"/>
      <c r="AG323" s="4" t="s">
        <v>206</v>
      </c>
      <c r="AH323" s="4"/>
      <c r="AI323" s="1527"/>
      <c r="AJ323" s="1527"/>
      <c r="AK323" s="1527"/>
    </row>
    <row r="324" spans="2:37" ht="12.95" customHeight="1">
      <c r="B324" s="3" t="s">
        <v>89</v>
      </c>
      <c r="C324" s="3"/>
      <c r="D324" s="3"/>
      <c r="E324" s="3"/>
      <c r="F324" s="3"/>
      <c r="G324" s="3"/>
      <c r="H324" s="1489">
        <f>'[1]Data Port'!$G$197</f>
        <v>0</v>
      </c>
      <c r="I324" s="1489"/>
      <c r="J324" s="1489"/>
      <c r="K324" s="1489"/>
      <c r="L324" s="1489"/>
      <c r="M324" s="1489"/>
      <c r="N324" s="4"/>
      <c r="O324" s="4"/>
      <c r="P324" s="35"/>
      <c r="Q324" s="35"/>
      <c r="R324" s="35"/>
      <c r="S324" s="3"/>
      <c r="T324" s="3" t="s">
        <v>89</v>
      </c>
      <c r="V324" s="3"/>
      <c r="W324" s="3"/>
      <c r="X324" s="3"/>
      <c r="Y324" s="3"/>
      <c r="AA324" s="1489">
        <f>'[1]Data Port'!$G$205</f>
        <v>0</v>
      </c>
      <c r="AB324" s="1489"/>
      <c r="AC324" s="1489"/>
      <c r="AD324" s="1489"/>
      <c r="AE324" s="1489"/>
      <c r="AF324" s="1489"/>
      <c r="AG324" s="4"/>
      <c r="AH324" s="4"/>
      <c r="AI324" s="35"/>
      <c r="AJ324" s="35"/>
      <c r="AK324" s="35"/>
    </row>
    <row r="325" spans="2:37" ht="12.95" customHeight="1">
      <c r="B325" s="3" t="s">
        <v>76</v>
      </c>
      <c r="C325" s="3"/>
      <c r="D325" s="3"/>
      <c r="E325" s="3"/>
      <c r="F325" s="3"/>
      <c r="G325" s="3"/>
      <c r="H325" s="1372" t="str">
        <f>'[1]Data Port'!$G$198</f>
        <v>jeremy@zendevelopment.org</v>
      </c>
      <c r="I325" s="1372"/>
      <c r="J325" s="1372"/>
      <c r="K325" s="1372"/>
      <c r="L325" s="1372"/>
      <c r="M325" s="1372"/>
      <c r="N325" s="1409"/>
      <c r="O325" s="1409"/>
      <c r="P325" s="1409"/>
      <c r="Q325" s="1409"/>
      <c r="R325" s="1409"/>
      <c r="S325" s="3"/>
      <c r="T325" s="3" t="s">
        <v>76</v>
      </c>
      <c r="V325" s="3"/>
      <c r="W325" s="3"/>
      <c r="X325" s="3"/>
      <c r="Y325" s="3"/>
      <c r="AA325" s="1372" t="str">
        <f>'[1]Data Port'!$G$206</f>
        <v>btd@theconcordgroup.com</v>
      </c>
      <c r="AB325" s="1372"/>
      <c r="AC325" s="1372"/>
      <c r="AD325" s="1372"/>
      <c r="AE325" s="1372"/>
      <c r="AF325" s="1372"/>
      <c r="AG325" s="1409"/>
      <c r="AH325" s="1409"/>
      <c r="AI325" s="1409"/>
      <c r="AJ325" s="1409"/>
      <c r="AK325" s="140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9"/>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2.95" customHeight="1">
      <c r="B328" s="3" t="s">
        <v>470</v>
      </c>
      <c r="C328" s="3"/>
      <c r="D328" s="3"/>
      <c r="E328" s="3"/>
      <c r="F328" s="3"/>
      <c r="H328" s="1372"/>
      <c r="I328" s="1372"/>
      <c r="J328" s="1372"/>
      <c r="K328" s="1372"/>
      <c r="L328" s="1372"/>
      <c r="M328" s="1372"/>
      <c r="N328" s="1372"/>
      <c r="O328" s="1372"/>
      <c r="P328" s="1372"/>
      <c r="Q328" s="1372"/>
      <c r="R328" s="1372"/>
      <c r="T328" s="3" t="s">
        <v>470</v>
      </c>
      <c r="V328" s="3"/>
      <c r="W328" s="3"/>
      <c r="X328" s="3"/>
      <c r="Y328" s="3"/>
      <c r="AA328" s="1372"/>
      <c r="AB328" s="1372"/>
      <c r="AC328" s="1372"/>
      <c r="AD328" s="1372"/>
      <c r="AE328" s="1372"/>
      <c r="AF328" s="1372"/>
      <c r="AG328" s="1372"/>
      <c r="AH328" s="1372"/>
      <c r="AI328" s="1372"/>
      <c r="AJ328" s="1372"/>
      <c r="AK328" s="1372"/>
    </row>
    <row r="329" spans="2:37" ht="12.95" customHeight="1">
      <c r="B329" s="3" t="s">
        <v>471</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5" customHeight="1">
      <c r="B331" s="3" t="s">
        <v>88</v>
      </c>
      <c r="C331" s="3"/>
      <c r="D331" s="3"/>
      <c r="E331" s="3"/>
      <c r="F331" s="3"/>
      <c r="G331" s="3"/>
      <c r="H331" s="1544"/>
      <c r="I331" s="1544"/>
      <c r="J331" s="1544"/>
      <c r="K331" s="1544"/>
      <c r="L331" s="1544"/>
      <c r="M331" s="1544"/>
      <c r="N331" s="4" t="s">
        <v>206</v>
      </c>
      <c r="O331" s="4"/>
      <c r="P331" s="1527"/>
      <c r="Q331" s="1527"/>
      <c r="R331" s="1527"/>
      <c r="S331" s="3"/>
      <c r="T331" s="3" t="s">
        <v>88</v>
      </c>
      <c r="V331" s="3"/>
      <c r="W331" s="3"/>
      <c r="X331" s="3"/>
      <c r="Y331" s="3"/>
      <c r="AA331" s="1544"/>
      <c r="AB331" s="1544"/>
      <c r="AC331" s="1544"/>
      <c r="AD331" s="1544"/>
      <c r="AE331" s="1544"/>
      <c r="AF331" s="1544"/>
      <c r="AG331" s="4" t="s">
        <v>206</v>
      </c>
      <c r="AH331" s="4"/>
      <c r="AI331" s="1527"/>
      <c r="AJ331" s="1527"/>
      <c r="AK331" s="1527"/>
    </row>
    <row r="332" spans="2:37" ht="12.9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72"/>
      <c r="I333" s="1372"/>
      <c r="J333" s="1372"/>
      <c r="K333" s="1372"/>
      <c r="L333" s="1372"/>
      <c r="M333" s="1372"/>
      <c r="N333" s="1409"/>
      <c r="O333" s="1409"/>
      <c r="P333" s="1409"/>
      <c r="Q333" s="1409"/>
      <c r="R333" s="1409"/>
      <c r="S333" s="3"/>
      <c r="T333" s="3" t="s">
        <v>76</v>
      </c>
      <c r="V333" s="3"/>
      <c r="W333" s="3"/>
      <c r="X333" s="3"/>
      <c r="Y333" s="3"/>
      <c r="AA333" s="1372"/>
      <c r="AB333" s="1372"/>
      <c r="AC333" s="1372"/>
      <c r="AD333" s="1372"/>
      <c r="AE333" s="1372"/>
      <c r="AF333" s="1372"/>
      <c r="AG333" s="1409"/>
      <c r="AH333" s="1409"/>
      <c r="AI333" s="1409"/>
      <c r="AJ333" s="1409"/>
      <c r="AK333" s="140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9"/>
      <c r="I335" s="1409"/>
      <c r="J335" s="1409"/>
      <c r="K335" s="1409"/>
      <c r="L335" s="1409"/>
      <c r="M335" s="1409"/>
      <c r="N335" s="1409"/>
      <c r="O335" s="1409"/>
      <c r="P335" s="1409"/>
      <c r="Q335" s="1409"/>
      <c r="R335" s="1409"/>
      <c r="T335" s="204" t="s">
        <v>885</v>
      </c>
      <c r="V335" s="3"/>
      <c r="W335" s="3"/>
      <c r="X335" s="3"/>
      <c r="Y335" s="3"/>
      <c r="AA335" s="1409" t="str">
        <f>'[1]Data Port'!$G$232</f>
        <v>FPI Management</v>
      </c>
      <c r="AB335" s="1409"/>
      <c r="AC335" s="1409"/>
      <c r="AD335" s="1409"/>
      <c r="AE335" s="1409"/>
      <c r="AF335" s="1409"/>
      <c r="AG335" s="1409"/>
      <c r="AH335" s="1409"/>
      <c r="AI335" s="1409"/>
      <c r="AJ335" s="1409"/>
      <c r="AK335" s="1409"/>
    </row>
    <row r="336" spans="2:37" ht="12.95" customHeight="1">
      <c r="B336" s="3" t="s">
        <v>470</v>
      </c>
      <c r="C336" s="3"/>
      <c r="D336" s="3"/>
      <c r="E336" s="3"/>
      <c r="F336" s="3"/>
      <c r="H336" s="1372"/>
      <c r="I336" s="1372"/>
      <c r="J336" s="1372"/>
      <c r="K336" s="1372"/>
      <c r="L336" s="1372"/>
      <c r="M336" s="1372"/>
      <c r="N336" s="1372"/>
      <c r="O336" s="1372"/>
      <c r="P336" s="1372"/>
      <c r="Q336" s="1372"/>
      <c r="R336" s="1372"/>
      <c r="T336" s="3" t="s">
        <v>470</v>
      </c>
      <c r="V336" s="3"/>
      <c r="W336" s="3"/>
      <c r="X336" s="3"/>
      <c r="Y336" s="3"/>
      <c r="AA336" s="1372" t="str">
        <f>'[1]Data Port'!$G$233</f>
        <v>800 Iron Point Road</v>
      </c>
      <c r="AB336" s="1372"/>
      <c r="AC336" s="1372"/>
      <c r="AD336" s="1372"/>
      <c r="AE336" s="1372"/>
      <c r="AF336" s="1372"/>
      <c r="AG336" s="1372"/>
      <c r="AH336" s="1372"/>
      <c r="AI336" s="1372"/>
      <c r="AJ336" s="1372"/>
      <c r="AK336" s="1372"/>
    </row>
    <row r="337" spans="1:66" ht="12.95" customHeight="1">
      <c r="B337" s="3" t="s">
        <v>75</v>
      </c>
      <c r="C337" s="3"/>
      <c r="D337" s="3"/>
      <c r="E337" s="3"/>
      <c r="F337" s="3"/>
      <c r="H337" s="1372"/>
      <c r="I337" s="1372"/>
      <c r="J337" s="1372"/>
      <c r="K337" s="1372"/>
      <c r="L337" s="1372"/>
      <c r="M337" s="1372"/>
      <c r="N337" s="1372"/>
      <c r="O337" s="1372"/>
      <c r="P337" s="1372"/>
      <c r="Q337" s="1372"/>
      <c r="R337" s="1372"/>
      <c r="T337" s="3" t="s">
        <v>75</v>
      </c>
      <c r="V337" s="3"/>
      <c r="W337" s="3"/>
      <c r="X337" s="3"/>
      <c r="Y337" s="3"/>
      <c r="AA337" s="1372" t="str">
        <f>'[1]Data Port'!$G$234</f>
        <v>Folsom, CA 95630</v>
      </c>
      <c r="AB337" s="1372"/>
      <c r="AC337" s="1372"/>
      <c r="AD337" s="1372"/>
      <c r="AE337" s="1372"/>
      <c r="AF337" s="1372"/>
      <c r="AG337" s="1372"/>
      <c r="AH337" s="1372"/>
      <c r="AI337" s="1372"/>
      <c r="AJ337" s="1372"/>
      <c r="AK337" s="1372"/>
    </row>
    <row r="338" spans="1:66" ht="12.95" customHeight="1">
      <c r="B338" s="3" t="s">
        <v>87</v>
      </c>
      <c r="C338" s="3"/>
      <c r="D338" s="3"/>
      <c r="E338" s="3"/>
      <c r="F338" s="3"/>
      <c r="G338" s="3"/>
      <c r="H338" s="1372"/>
      <c r="I338" s="1372"/>
      <c r="J338" s="1372"/>
      <c r="K338" s="1372"/>
      <c r="L338" s="1372"/>
      <c r="M338" s="1372"/>
      <c r="N338" s="1372"/>
      <c r="O338" s="1372"/>
      <c r="P338" s="1372"/>
      <c r="Q338" s="1372"/>
      <c r="R338" s="1372"/>
      <c r="T338" s="3" t="s">
        <v>87</v>
      </c>
      <c r="V338" s="3"/>
      <c r="W338" s="3"/>
      <c r="X338" s="3"/>
      <c r="Y338" s="3"/>
      <c r="AA338" s="1372" t="str">
        <f>'[1]Data Port'!$G$235</f>
        <v>Cynthia Wray</v>
      </c>
      <c r="AB338" s="1372"/>
      <c r="AC338" s="1372"/>
      <c r="AD338" s="1372"/>
      <c r="AE338" s="1372"/>
      <c r="AF338" s="1372"/>
      <c r="AG338" s="1372"/>
      <c r="AH338" s="1372"/>
      <c r="AI338" s="1372"/>
      <c r="AJ338" s="1372"/>
      <c r="AK338" s="1372"/>
    </row>
    <row r="339" spans="1:66" ht="12.95" customHeight="1">
      <c r="B339" s="3" t="s">
        <v>88</v>
      </c>
      <c r="C339" s="3"/>
      <c r="D339" s="3"/>
      <c r="E339" s="3"/>
      <c r="F339" s="3"/>
      <c r="G339" s="3"/>
      <c r="H339" s="1544"/>
      <c r="I339" s="1544"/>
      <c r="J339" s="1544"/>
      <c r="K339" s="1544"/>
      <c r="L339" s="1544"/>
      <c r="M339" s="1544"/>
      <c r="N339" s="4" t="s">
        <v>206</v>
      </c>
      <c r="O339" s="4"/>
      <c r="P339" s="1527"/>
      <c r="Q339" s="1527"/>
      <c r="R339" s="1527"/>
      <c r="S339" s="3"/>
      <c r="T339" s="3" t="s">
        <v>88</v>
      </c>
      <c r="V339" s="3"/>
      <c r="W339" s="3"/>
      <c r="X339" s="3"/>
      <c r="Y339" s="3"/>
      <c r="AA339" s="1544" t="str">
        <f>'[1]Data Port'!$G$236</f>
        <v>916.850.4484</v>
      </c>
      <c r="AB339" s="1544"/>
      <c r="AC339" s="1544"/>
      <c r="AD339" s="1544"/>
      <c r="AE339" s="1544"/>
      <c r="AF339" s="1544"/>
      <c r="AG339" s="4" t="s">
        <v>206</v>
      </c>
      <c r="AH339" s="4"/>
      <c r="AI339" s="1527"/>
      <c r="AJ339" s="1527"/>
      <c r="AK339" s="1527"/>
    </row>
    <row r="340" spans="1:66" ht="12.95"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f>'[1]Data Port'!$G$237</f>
        <v>0</v>
      </c>
      <c r="AB340" s="1489"/>
      <c r="AC340" s="1489"/>
      <c r="AD340" s="1489"/>
      <c r="AE340" s="1489"/>
      <c r="AF340" s="1489"/>
      <c r="AG340" s="4"/>
      <c r="AH340" s="4"/>
      <c r="AI340" s="35"/>
      <c r="AJ340" s="35"/>
      <c r="AK340" s="35"/>
    </row>
    <row r="341" spans="1:66" ht="12.95" customHeight="1">
      <c r="B341" s="3" t="s">
        <v>76</v>
      </c>
      <c r="C341" s="3"/>
      <c r="D341" s="3"/>
      <c r="E341" s="3"/>
      <c r="F341" s="3"/>
      <c r="G341" s="3"/>
      <c r="H341" s="1372"/>
      <c r="I341" s="1372"/>
      <c r="J341" s="1372"/>
      <c r="K341" s="1372"/>
      <c r="L341" s="1372"/>
      <c r="M341" s="1372"/>
      <c r="N341" s="1409"/>
      <c r="O341" s="1409"/>
      <c r="P341" s="1409"/>
      <c r="Q341" s="1409"/>
      <c r="R341" s="1409"/>
      <c r="S341" s="3"/>
      <c r="T341" s="3" t="s">
        <v>76</v>
      </c>
      <c r="V341" s="3"/>
      <c r="W341" s="3"/>
      <c r="X341" s="3"/>
      <c r="Y341" s="3"/>
      <c r="AA341" s="1372" t="str">
        <f>'[1]Data Port'!$G$238</f>
        <v>cynthia.wray@fpimgt.com</v>
      </c>
      <c r="AB341" s="1372"/>
      <c r="AC341" s="1372"/>
      <c r="AD341" s="1372"/>
      <c r="AE341" s="1372"/>
      <c r="AF341" s="1372"/>
      <c r="AG341" s="1409"/>
      <c r="AH341" s="1409"/>
      <c r="AI341" s="1409"/>
      <c r="AJ341" s="1409"/>
      <c r="AK341" s="140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09"/>
      <c r="Q343" s="1409"/>
      <c r="R343" s="1409"/>
      <c r="S343" s="1409"/>
      <c r="T343" s="1409"/>
      <c r="U343" s="1409"/>
      <c r="V343" s="1409"/>
      <c r="W343" s="1409"/>
      <c r="X343" s="1409"/>
      <c r="Y343" s="1409"/>
      <c r="Z343" s="1409"/>
      <c r="AA343" s="1409"/>
      <c r="AB343" s="1409"/>
      <c r="AC343" s="1409"/>
      <c r="AD343" s="1409"/>
      <c r="AE343" s="1409"/>
      <c r="BN343" t="s">
        <v>668</v>
      </c>
    </row>
    <row r="344" spans="1:66" ht="12.95" customHeight="1">
      <c r="B344" s="4"/>
      <c r="C344" s="4"/>
      <c r="D344" s="4"/>
      <c r="E344" s="4"/>
      <c r="F344" s="4"/>
      <c r="I344" s="4" t="s">
        <v>470</v>
      </c>
      <c r="P344" s="1372"/>
      <c r="Q344" s="1372"/>
      <c r="R344" s="1372"/>
      <c r="S344" s="1372"/>
      <c r="T344" s="1372"/>
      <c r="U344" s="1372"/>
      <c r="V344" s="1372"/>
      <c r="W344" s="1372"/>
      <c r="X344" s="1372"/>
      <c r="Y344" s="1372"/>
      <c r="Z344" s="1372"/>
      <c r="AA344" s="1372"/>
      <c r="AB344" s="1372"/>
      <c r="AC344" s="1372"/>
      <c r="AD344" s="1372"/>
      <c r="AE344" s="1372"/>
      <c r="BN344" t="s">
        <v>544</v>
      </c>
    </row>
    <row r="345" spans="1:66" ht="12.9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2.95" customHeight="1">
      <c r="T350" s="8"/>
      <c r="U350" s="8"/>
      <c r="V350" s="8"/>
      <c r="W350" s="8"/>
      <c r="X350" s="8"/>
      <c r="Y350" s="8"/>
      <c r="Z350" s="8"/>
      <c r="AU350" s="95"/>
      <c r="AV350" s="95"/>
      <c r="AW350" s="95"/>
      <c r="AX350" s="95"/>
      <c r="AY350" s="95"/>
    </row>
    <row r="351" spans="1:66" ht="12.95" customHeight="1">
      <c r="A351" s="1535" t="s">
        <v>541</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2096</v>
      </c>
      <c r="M355" s="1417" t="str">
        <f>'[1]Data Port'!$G$248</f>
        <v>Yes</v>
      </c>
      <c r="N355" s="1417"/>
      <c r="P355" t="s">
        <v>1648</v>
      </c>
      <c r="AJ355" s="1417" t="str">
        <f>'[1]Data Port'!$G$252</f>
        <v>N/A</v>
      </c>
      <c r="AK355" s="1417"/>
    </row>
    <row r="356" spans="1:46" ht="12.95" customHeight="1">
      <c r="D356" s="3" t="s">
        <v>1637</v>
      </c>
      <c r="M356" s="1417" t="str">
        <f>'[1]Data Port'!$G$249</f>
        <v>N/A</v>
      </c>
      <c r="N356" s="1417"/>
      <c r="P356" s="3" t="s">
        <v>1717</v>
      </c>
      <c r="AJ356" s="1383">
        <f>'[1]Data Port'!$G$253</f>
        <v>0</v>
      </c>
      <c r="AK356" s="1383"/>
    </row>
    <row r="357" spans="1:46" ht="12.95" customHeight="1">
      <c r="D357" s="3" t="s">
        <v>703</v>
      </c>
      <c r="M357" s="1417" t="str">
        <f>'[1]Data Port'!$G$250</f>
        <v>N/A</v>
      </c>
      <c r="N357" s="1417"/>
      <c r="P357" t="s">
        <v>1647</v>
      </c>
      <c r="AJ357" s="1417" t="str">
        <f>'[1]Data Port'!$G$254</f>
        <v>N/A</v>
      </c>
      <c r="AK357" s="1417"/>
    </row>
    <row r="358" spans="1:46" ht="12.95" customHeight="1">
      <c r="D358" s="3" t="s">
        <v>704</v>
      </c>
      <c r="M358" s="1417" t="str">
        <f>'[1]Data Port'!$G$251</f>
        <v>N/A</v>
      </c>
      <c r="N358" s="1417"/>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7" t="str">
        <f>'[1]Data Port'!$G$256</f>
        <v>N/A</v>
      </c>
      <c r="O363" s="1417"/>
      <c r="P363" s="40"/>
      <c r="Q363" s="40"/>
      <c r="R363" s="40"/>
      <c r="S363" s="40"/>
      <c r="T363" s="40"/>
      <c r="U363" s="40"/>
      <c r="V363" s="40"/>
      <c r="W363" s="40"/>
      <c r="X363" s="40"/>
      <c r="Y363" s="40"/>
      <c r="Z363" s="40"/>
      <c r="AC363" s="40"/>
      <c r="AD363" s="40"/>
      <c r="AE363" s="40"/>
    </row>
    <row r="364" spans="1:46" ht="12.95" customHeight="1">
      <c r="E364" t="s">
        <v>370</v>
      </c>
      <c r="Y364" s="1417" t="str">
        <f>'[1]Data Port'!$G$257</f>
        <v>N/A</v>
      </c>
      <c r="Z364" s="1417"/>
    </row>
    <row r="365" spans="1:46" ht="12.95" customHeight="1">
      <c r="D365" s="4" t="s">
        <v>976</v>
      </c>
      <c r="Q365" s="1409" t="str">
        <f>'[1]Data Port'!$G$258</f>
        <v>N/A</v>
      </c>
      <c r="R365" s="1409"/>
      <c r="S365" s="1409"/>
      <c r="T365" s="1409"/>
      <c r="U365" s="1409"/>
      <c r="V365" s="1409"/>
      <c r="W365" s="1409"/>
      <c r="X365" s="1409"/>
      <c r="Y365" s="1409"/>
      <c r="Z365" s="1409"/>
      <c r="AA365" s="1409"/>
      <c r="AB365" s="1409"/>
      <c r="AC365" s="1409"/>
      <c r="AD365" s="1409"/>
      <c r="AE365" s="1409"/>
      <c r="AF365" s="1409"/>
      <c r="AG365" s="140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7" t="str">
        <f>'[1]Data Port'!$G$259</f>
        <v>N/A</v>
      </c>
      <c r="K367" s="1417"/>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705</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447</v>
      </c>
      <c r="F370" s="4"/>
      <c r="G370" s="4"/>
      <c r="H370" s="4"/>
      <c r="I370" s="4"/>
      <c r="J370" s="4"/>
      <c r="K370" s="4"/>
      <c r="L370" s="4"/>
      <c r="N370" s="1391"/>
      <c r="O370" s="1391"/>
      <c r="P370" s="1391"/>
      <c r="Q370" s="1391"/>
      <c r="R370" s="4"/>
      <c r="U370" s="4" t="s">
        <v>448</v>
      </c>
      <c r="V370" s="4"/>
      <c r="W370" s="4"/>
      <c r="X370" s="4"/>
      <c r="Y370" s="4"/>
      <c r="Z370" s="4"/>
      <c r="AA370" s="4"/>
      <c r="AB370" s="4"/>
      <c r="AC370" s="1391"/>
      <c r="AD370" s="1391"/>
      <c r="AE370" s="1391"/>
      <c r="AF370" s="1391"/>
    </row>
    <row r="371" spans="1:34" ht="12.95" customHeight="1">
      <c r="E371" s="4" t="s">
        <v>449</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305</v>
      </c>
      <c r="S377" s="1445"/>
      <c r="T377" s="1445"/>
      <c r="U377" s="1" t="s">
        <v>306</v>
      </c>
      <c r="V377" s="1445"/>
      <c r="W377" s="1445"/>
      <c r="Y377" t="s">
        <v>2077</v>
      </c>
      <c r="AC377" s="27" t="s">
        <v>305</v>
      </c>
      <c r="AD377" s="1445"/>
      <c r="AE377" s="1445"/>
      <c r="AF377" s="1" t="s">
        <v>306</v>
      </c>
      <c r="AG377" s="1445"/>
      <c r="AH377" s="1445"/>
    </row>
    <row r="378" spans="1:34" ht="12.95" customHeight="1">
      <c r="E378" s="4" t="s">
        <v>985</v>
      </c>
      <c r="F378" s="4"/>
      <c r="G378" s="4"/>
      <c r="H378" s="4"/>
      <c r="I378" s="4"/>
      <c r="J378" s="4"/>
      <c r="K378" s="4"/>
      <c r="L378" s="4"/>
      <c r="N378" s="1445"/>
      <c r="O378" s="1445"/>
      <c r="P378" s="1445"/>
    </row>
    <row r="379" spans="1:34" ht="12.95" customHeight="1">
      <c r="E379" s="204" t="s">
        <v>2083</v>
      </c>
      <c r="F379" s="4"/>
      <c r="G379" s="4"/>
      <c r="H379" s="4"/>
      <c r="I379" s="4"/>
      <c r="J379" s="4"/>
      <c r="K379" s="4"/>
      <c r="L379" s="4"/>
      <c r="AG379" s="1448" t="s">
        <v>590</v>
      </c>
      <c r="AH379" s="1448"/>
    </row>
    <row r="380" spans="1:34" ht="12.95" customHeight="1">
      <c r="E380" s="4"/>
      <c r="F380" s="4"/>
      <c r="G380" s="4" t="s">
        <v>2084</v>
      </c>
      <c r="H380" s="4"/>
      <c r="I380" s="4"/>
      <c r="J380" s="4"/>
      <c r="K380" s="4"/>
      <c r="L380" s="4"/>
      <c r="AG380" s="1448" t="s">
        <v>590</v>
      </c>
      <c r="AH380" s="1448"/>
    </row>
    <row r="381" spans="1:34" ht="12.95" customHeight="1">
      <c r="E381" s="4"/>
      <c r="F381" s="4"/>
      <c r="G381" s="320" t="s">
        <v>986</v>
      </c>
      <c r="H381" s="4"/>
      <c r="I381" s="4"/>
      <c r="J381" s="4"/>
      <c r="K381" s="4"/>
      <c r="L381" s="4"/>
      <c r="V381" s="1417" t="s">
        <v>590</v>
      </c>
      <c r="W381" s="1417"/>
      <c r="Y381" s="22" t="s">
        <v>978</v>
      </c>
    </row>
    <row r="382" spans="1:34" ht="12.95" customHeight="1">
      <c r="E382" s="4" t="s">
        <v>979</v>
      </c>
      <c r="F382" s="4"/>
      <c r="G382" s="4"/>
      <c r="H382" s="4"/>
      <c r="I382" s="4"/>
      <c r="J382" s="4"/>
      <c r="K382" s="4"/>
      <c r="L382" s="4"/>
      <c r="V382" s="1417" t="s">
        <v>590</v>
      </c>
      <c r="W382" s="1417"/>
      <c r="Y382" s="4" t="s">
        <v>980</v>
      </c>
    </row>
    <row r="383" spans="1:34" ht="12.95" customHeight="1"/>
    <row r="384" spans="1:34" ht="12.95" customHeight="1">
      <c r="A384" s="2" t="s">
        <v>78</v>
      </c>
      <c r="B384" s="2"/>
    </row>
    <row r="385" spans="4:36" ht="12.95" customHeight="1">
      <c r="D385" t="s">
        <v>427</v>
      </c>
      <c r="J385" s="1409">
        <f>'[1]Data Port'!$G268</f>
        <v>0</v>
      </c>
      <c r="K385" s="1409"/>
      <c r="L385" s="1409"/>
      <c r="M385" s="1409"/>
      <c r="N385" s="1409"/>
      <c r="O385" s="1409"/>
      <c r="P385" s="1409"/>
      <c r="Q385" s="1409"/>
      <c r="R385" s="1409"/>
      <c r="S385" s="1409"/>
      <c r="T385" s="1409"/>
      <c r="U385" s="1409"/>
      <c r="V385" s="8" t="s">
        <v>83</v>
      </c>
      <c r="W385" s="8"/>
      <c r="X385" s="8"/>
      <c r="Y385" s="8"/>
      <c r="Z385" s="8"/>
      <c r="AA385" s="8"/>
      <c r="AB385" s="8"/>
      <c r="AC385" s="1409">
        <f>'[1]Data Port'!$G273</f>
        <v>0</v>
      </c>
      <c r="AD385" s="1409"/>
      <c r="AE385" s="1409"/>
      <c r="AF385" s="1409"/>
      <c r="AG385" s="1409"/>
      <c r="AH385" s="1409"/>
      <c r="AI385" s="1409"/>
      <c r="AJ385" s="1409"/>
    </row>
    <row r="386" spans="4:36" ht="12.95" customHeight="1">
      <c r="D386" s="3" t="s">
        <v>1180</v>
      </c>
      <c r="J386" s="1372">
        <f>'[1]Data Port'!$G269</f>
        <v>0</v>
      </c>
      <c r="K386" s="1372"/>
      <c r="L386" s="1372"/>
      <c r="M386" s="1372"/>
      <c r="N386" s="1372"/>
      <c r="O386" s="1372"/>
      <c r="P386" s="1372"/>
      <c r="Q386" s="1372"/>
      <c r="R386" s="1372"/>
      <c r="S386" s="1372"/>
      <c r="T386" s="1372"/>
      <c r="U386" s="1372"/>
      <c r="V386" s="3" t="s">
        <v>1180</v>
      </c>
      <c r="W386" s="8"/>
      <c r="X386" s="8"/>
      <c r="Y386" s="8"/>
      <c r="Z386" s="8"/>
      <c r="AA386" s="8"/>
      <c r="AB386" s="8"/>
      <c r="AC386" s="1409">
        <f>'[1]Data Port'!$G274</f>
        <v>0</v>
      </c>
      <c r="AD386" s="1409"/>
      <c r="AE386" s="1409"/>
      <c r="AF386" s="1409"/>
      <c r="AG386" s="1409"/>
      <c r="AH386" s="1409"/>
      <c r="AI386" s="1409"/>
      <c r="AJ386" s="1409"/>
    </row>
    <row r="387" spans="4:36" ht="12.95" customHeight="1">
      <c r="D387" s="3" t="s">
        <v>440</v>
      </c>
      <c r="J387" s="1372">
        <f>'[1]Data Port'!$G270</f>
        <v>0</v>
      </c>
      <c r="K387" s="1372"/>
      <c r="L387" s="1372"/>
      <c r="M387" s="1372"/>
      <c r="N387" s="1372"/>
      <c r="O387" s="1372"/>
      <c r="P387" s="1372"/>
      <c r="Q387" s="1372"/>
      <c r="R387" s="1372"/>
      <c r="S387" s="1372"/>
      <c r="T387" s="1372"/>
      <c r="U387" s="1372"/>
      <c r="V387" s="3" t="s">
        <v>440</v>
      </c>
      <c r="W387" s="8"/>
      <c r="X387" s="8"/>
      <c r="Y387" s="8"/>
      <c r="Z387" s="8"/>
      <c r="AA387" s="8"/>
      <c r="AB387" s="8"/>
      <c r="AC387" s="1409">
        <f>'[1]Data Port'!$G275</f>
        <v>0</v>
      </c>
      <c r="AD387" s="1409"/>
      <c r="AE387" s="1409"/>
      <c r="AF387" s="1409"/>
      <c r="AG387" s="1409"/>
      <c r="AH387" s="1409"/>
      <c r="AI387" s="1409"/>
      <c r="AJ387" s="1409"/>
    </row>
    <row r="388" spans="4:36" ht="12.95" customHeight="1">
      <c r="D388" t="s">
        <v>1176</v>
      </c>
      <c r="J388" s="1429">
        <f>'[1]Data Port'!$G271</f>
        <v>0</v>
      </c>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2.95" customHeight="1">
      <c r="D389" t="s">
        <v>4</v>
      </c>
      <c r="Q389" s="1593">
        <f>'[1]Data Port'!$G277</f>
        <v>45909</v>
      </c>
      <c r="R389" s="1593"/>
      <c r="S389" s="1593"/>
      <c r="T389" s="1593"/>
      <c r="U389" s="1593"/>
      <c r="V389" t="s">
        <v>309</v>
      </c>
      <c r="AI389" s="1417" t="str">
        <f>'[1]Data Port'!$G284</f>
        <v>No</v>
      </c>
      <c r="AJ389" s="1417"/>
    </row>
    <row r="390" spans="4:36" ht="12.95" customHeight="1">
      <c r="D390" t="s">
        <v>5</v>
      </c>
      <c r="Q390" s="1522">
        <f>'[1]Data Port'!$G278</f>
        <v>0</v>
      </c>
      <c r="R390" s="1523"/>
      <c r="S390" s="1523"/>
      <c r="T390" s="1523"/>
      <c r="U390" s="1523"/>
      <c r="W390" s="21" t="s">
        <v>74</v>
      </c>
      <c r="AG390" s="1450">
        <f>'[1]Data Port'!$G285</f>
        <v>0</v>
      </c>
      <c r="AH390" s="1450"/>
      <c r="AI390" s="1450"/>
      <c r="AJ390" s="1450"/>
    </row>
    <row r="391" spans="4:36" ht="12.95" customHeight="1">
      <c r="D391" t="s">
        <v>426</v>
      </c>
      <c r="Q391" s="1451">
        <f>'[1]Data Port'!$G279</f>
        <v>0</v>
      </c>
      <c r="R391" s="1451"/>
      <c r="S391" s="1451"/>
      <c r="T391" s="1451"/>
      <c r="U391" s="1451"/>
      <c r="V391" s="3" t="s">
        <v>1179</v>
      </c>
      <c r="AG391" s="1520">
        <f>'[1]Data Port'!$G286</f>
        <v>0</v>
      </c>
      <c r="AH391" s="1520"/>
      <c r="AI391" s="1520"/>
      <c r="AJ391" s="1520"/>
    </row>
    <row r="392" spans="4:36" ht="12.95" customHeight="1">
      <c r="D392" t="s">
        <v>88</v>
      </c>
      <c r="I392" s="1544">
        <f>'[1]Data Port'!$G$280</f>
        <v>0</v>
      </c>
      <c r="J392" s="1544"/>
      <c r="K392" s="1544"/>
      <c r="L392" s="1544"/>
      <c r="M392" s="1544"/>
      <c r="N392" s="1544"/>
      <c r="Q392" s="4" t="s">
        <v>206</v>
      </c>
      <c r="S392" s="1449"/>
      <c r="T392" s="1449"/>
      <c r="U392" s="1449"/>
      <c r="V392" t="s">
        <v>73</v>
      </c>
      <c r="AI392" s="1417" t="str">
        <f>'[1]Data Port'!$G$287</f>
        <v>No</v>
      </c>
      <c r="AJ392" s="1417"/>
    </row>
    <row r="393" spans="4:36" ht="12.95" customHeight="1">
      <c r="D393" t="s">
        <v>310</v>
      </c>
      <c r="Q393" s="1526">
        <f>'[1]Data Port'!$G281</f>
        <v>0</v>
      </c>
      <c r="R393" s="1526"/>
      <c r="S393" s="1526"/>
      <c r="T393" s="1526"/>
      <c r="U393" s="1526"/>
      <c r="V393" t="s">
        <v>311</v>
      </c>
      <c r="AG393" s="1450">
        <f>'[1]Data Port'!$G288</f>
        <v>0</v>
      </c>
      <c r="AH393" s="1450"/>
      <c r="AI393" s="1450"/>
      <c r="AJ393" s="1450"/>
    </row>
    <row r="394" spans="4:36" ht="12.95" customHeight="1">
      <c r="D394" t="s">
        <v>312</v>
      </c>
      <c r="Q394" s="1583">
        <f>'[1]Data Port'!$G282</f>
        <v>0</v>
      </c>
      <c r="R394" s="1583"/>
      <c r="S394" s="1583"/>
      <c r="T394" s="1583"/>
      <c r="U394" s="1583"/>
      <c r="V394" t="s">
        <v>1161</v>
      </c>
      <c r="AG394" s="1450">
        <f>'[1]Data Port'!$G289</f>
        <v>0</v>
      </c>
      <c r="AH394" s="1450"/>
      <c r="AI394" s="1450"/>
      <c r="AJ394" s="1450"/>
    </row>
    <row r="395" spans="4:36" ht="12.95" customHeight="1">
      <c r="D395" t="s">
        <v>1160</v>
      </c>
      <c r="AG395" s="1450">
        <f>'[1]Data Port'!$G290</f>
        <v>0</v>
      </c>
      <c r="AH395" s="1450"/>
      <c r="AI395" s="1450"/>
      <c r="AJ395" s="1450"/>
    </row>
    <row r="396" spans="4:36" ht="12.95" customHeight="1">
      <c r="AG396" s="456"/>
      <c r="AH396" s="456"/>
      <c r="AI396" s="456"/>
      <c r="AJ396" s="456"/>
    </row>
    <row r="397" spans="4:36" ht="12.95" customHeight="1">
      <c r="D397" s="3" t="s">
        <v>2139</v>
      </c>
      <c r="AG397" s="456"/>
      <c r="AH397" s="456"/>
      <c r="AI397" s="1417" t="s">
        <v>668</v>
      </c>
      <c r="AJ397" s="1417"/>
    </row>
    <row r="398" spans="4:36" ht="12.95" customHeight="1">
      <c r="D398" s="3" t="s">
        <v>1665</v>
      </c>
      <c r="T398" s="1436"/>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1664</v>
      </c>
      <c r="T399" s="1436"/>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56"/>
      <c r="AH400" s="456"/>
      <c r="AI400" s="456"/>
      <c r="AJ400" s="456"/>
    </row>
    <row r="401" spans="1:36" ht="12.95" customHeight="1">
      <c r="D401" s="3" t="s">
        <v>1658</v>
      </c>
      <c r="S401" s="1436" t="str">
        <f>'[1]Data Port'!$G$292</f>
        <v>No</v>
      </c>
      <c r="T401" s="1436"/>
      <c r="U401" s="1436"/>
      <c r="V401" t="s">
        <v>1659</v>
      </c>
      <c r="AG401" s="1525">
        <f>'[1]Data Port'!$G$297</f>
        <v>99</v>
      </c>
      <c r="AH401" s="1525"/>
      <c r="AI401" s="1525"/>
      <c r="AJ401" s="1525"/>
    </row>
    <row r="402" spans="1:36" ht="12.95" customHeight="1">
      <c r="D402" s="3" t="s">
        <v>1656</v>
      </c>
      <c r="S402" s="1436" t="str">
        <f>'[1]Data Port'!$G$293</f>
        <v>N/A</v>
      </c>
      <c r="T402" s="1436"/>
      <c r="U402" s="1436"/>
      <c r="V402" t="s">
        <v>1661</v>
      </c>
      <c r="AE402" s="1519">
        <f>'[1]Data Port'!$G$298</f>
        <v>0</v>
      </c>
      <c r="AF402" s="1519"/>
      <c r="AG402" s="1519"/>
      <c r="AH402" s="1519"/>
      <c r="AI402" s="1519"/>
      <c r="AJ402" s="1519"/>
    </row>
    <row r="403" spans="1:36" ht="12.95" customHeight="1">
      <c r="D403" s="3" t="s">
        <v>1657</v>
      </c>
      <c r="K403" s="1521">
        <f>'[1]Data Port'!$G294</f>
        <v>0</v>
      </c>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1660</v>
      </c>
      <c r="K404" s="1521">
        <f>'[1]Data Port'!$G295</f>
        <v>0</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1663</v>
      </c>
      <c r="E405" s="477"/>
      <c r="F405" s="477"/>
      <c r="G405" s="477"/>
      <c r="H405" s="477"/>
      <c r="I405" s="477"/>
      <c r="J405" s="477"/>
      <c r="K405" s="477"/>
      <c r="L405" s="477"/>
      <c r="M405" s="477"/>
      <c r="N405" s="477"/>
      <c r="O405" s="477"/>
      <c r="P405" s="477"/>
      <c r="Q405" s="477"/>
      <c r="R405" s="477"/>
      <c r="S405" s="1447" t="str">
        <f>'[1]Data Port'!$G$296</f>
        <v>Secured by both Leasehold &amp; Fee Interests</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6" t="s">
        <v>1662</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524" t="str">
        <f>'[1]Data Port'!$G$302</f>
        <v>Other (Specify below)</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7" t="str">
        <f>'[1]Data Port'!$G$303</f>
        <v>Yes</v>
      </c>
      <c r="S411" s="1417"/>
      <c r="AC411" s="27" t="s">
        <v>569</v>
      </c>
      <c r="AD411" s="1391">
        <f>ROUNDUP('[1]Initial Screen'!$N$30+'[1]Initial Screen'!$N$32,0)</f>
        <v>13</v>
      </c>
      <c r="AE411" s="1391"/>
    </row>
    <row r="412" spans="1:36" ht="12.95" customHeight="1">
      <c r="E412" t="s">
        <v>107</v>
      </c>
      <c r="R412" s="1417" t="str">
        <f>'[1]Data Port'!$G$305</f>
        <v>N/A</v>
      </c>
      <c r="S412" s="1417"/>
      <c r="AC412" s="27" t="s">
        <v>569</v>
      </c>
      <c r="AD412" s="1391"/>
      <c r="AE412" s="1391"/>
    </row>
    <row r="413" spans="1:36" ht="12.95" customHeight="1">
      <c r="E413" t="s">
        <v>108</v>
      </c>
      <c r="S413" s="1417" t="str">
        <f>'[1]Data Port'!$G$306</f>
        <v>N/A</v>
      </c>
      <c r="T413" s="1417"/>
    </row>
    <row r="414" spans="1:36" ht="12.95" customHeight="1">
      <c r="E414" t="s">
        <v>170</v>
      </c>
      <c r="H414" s="1584" t="str">
        <f>'[1]Data Port'!$G$307</f>
        <v>13-story residential mixed-use buildling (10.54-stories of residential over 2.46-stories of parking)</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2.95"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2.95" customHeight="1"/>
    <row r="417" spans="1:39" ht="12.95" customHeight="1">
      <c r="A417" s="2" t="s">
        <v>589</v>
      </c>
      <c r="B417" s="2"/>
      <c r="C417" s="2"/>
      <c r="D417" s="2" t="s">
        <v>114</v>
      </c>
      <c r="AF417" s="2" t="s">
        <v>955</v>
      </c>
    </row>
    <row r="418" spans="1:39" ht="12.95" customHeight="1">
      <c r="E418" s="1445"/>
      <c r="F418" s="1445"/>
      <c r="G418" s="1445"/>
      <c r="H418" s="13" t="s">
        <v>115</v>
      </c>
      <c r="I418" s="1445"/>
      <c r="J418" s="1445"/>
      <c r="K418" s="1445"/>
      <c r="L418" t="s">
        <v>116</v>
      </c>
      <c r="N418" s="27" t="s">
        <v>574</v>
      </c>
      <c r="P418" s="1587">
        <f>'[1]Data Port'!$G$309</f>
        <v>0.51652892561983466</v>
      </c>
      <c r="Q418" s="1587"/>
      <c r="R418" s="1587"/>
      <c r="S418" t="s">
        <v>117</v>
      </c>
      <c r="W418" s="1446">
        <f>IF(E418&gt;0,(E418*I418),(P418*43560))</f>
        <v>22499.999999999996</v>
      </c>
      <c r="X418" s="1446"/>
      <c r="Y418" s="1446"/>
      <c r="Z418" t="s">
        <v>118</v>
      </c>
      <c r="AF418" s="1588">
        <f>IFERROR(IF(P418&gt;0,(AG437/P418),(AG437/(W418/43560))),0)</f>
        <v>669.85600000000011</v>
      </c>
      <c r="AG418" s="1588"/>
      <c r="AH418" s="1588"/>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1734</v>
      </c>
      <c r="F421" s="1013"/>
      <c r="G421" s="1013"/>
      <c r="H421" s="1013"/>
      <c r="I421" s="1586">
        <f>'[1]Data Port'!$G$309</f>
        <v>0.51652892561983466</v>
      </c>
      <c r="J421" s="1586"/>
      <c r="K421" s="1586"/>
      <c r="L421" s="1013"/>
      <c r="M421" s="118"/>
      <c r="N421" s="1013"/>
      <c r="O421" s="1013"/>
      <c r="P421" s="1838">
        <f>(DU755+DU778+DU800)/I421</f>
        <v>758.91200000000003</v>
      </c>
      <c r="Q421" s="1838"/>
      <c r="R421" s="1838"/>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7">
        <f>'[1]Data Port'!$G$312</f>
        <v>1</v>
      </c>
      <c r="Q424" s="1417"/>
      <c r="S424" t="s">
        <v>189</v>
      </c>
      <c r="AE424" s="1417">
        <f>'[1]Data Port'!$G$313</f>
        <v>1</v>
      </c>
      <c r="AF424" s="1417"/>
    </row>
    <row r="425" spans="1:39" ht="12.95" customHeight="1">
      <c r="E425" t="s">
        <v>190</v>
      </c>
      <c r="P425" s="1417">
        <f>'[1]Data Port'!$G$314</f>
        <v>0</v>
      </c>
      <c r="Q425" s="1417"/>
      <c r="S425" t="s">
        <v>131</v>
      </c>
      <c r="AE425" s="1417" t="str">
        <f>'[1]Data Port'!$G$315</f>
        <v>N/A</v>
      </c>
      <c r="AF425" s="1417"/>
    </row>
    <row r="426" spans="1:39" ht="12.95" customHeight="1">
      <c r="F426" s="28" t="s">
        <v>132</v>
      </c>
    </row>
    <row r="427" spans="1:39" ht="12.9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2.95" customHeight="1">
      <c r="E429" t="s">
        <v>607</v>
      </c>
      <c r="P429" s="1"/>
      <c r="Q429" s="1417" t="str">
        <f>'[1]Data Port'!$G$316</f>
        <v>Yes</v>
      </c>
      <c r="R429" s="1417"/>
    </row>
    <row r="430" spans="1:39" ht="12.95" customHeight="1">
      <c r="F430" t="s">
        <v>608</v>
      </c>
      <c r="P430" s="1"/>
      <c r="Q430" s="1"/>
      <c r="AF430" s="1417" t="str">
        <f>'[1]Data Port'!$G$317</f>
        <v>N/A</v>
      </c>
      <c r="AG430" s="1507"/>
    </row>
    <row r="431" spans="1:39" ht="12.95" customHeight="1"/>
    <row r="432" spans="1:39" ht="12.95" customHeight="1">
      <c r="A432" s="2"/>
      <c r="B432" s="2"/>
      <c r="C432" s="2"/>
      <c r="E432" s="4" t="s">
        <v>308</v>
      </c>
      <c r="Z432" s="1417" t="str">
        <f>'[1]Data Port'!$G$319</f>
        <v>No</v>
      </c>
      <c r="AA432" s="141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17" t="str">
        <f>'[1]Data Port'!$G$320</f>
        <v>N/A</v>
      </c>
      <c r="AA434" s="1417"/>
    </row>
    <row r="435" spans="1:55" ht="12.95" customHeight="1"/>
    <row r="436" spans="1:55" ht="12.95" customHeight="1">
      <c r="A436" s="2" t="s">
        <v>466</v>
      </c>
      <c r="B436" s="2"/>
      <c r="C436" s="2"/>
      <c r="D436" s="2" t="s">
        <v>763</v>
      </c>
      <c r="AF436" s="48"/>
    </row>
    <row r="437" spans="1:55" ht="12.95"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f>'[1]Data Port'!$G$322</f>
        <v>346</v>
      </c>
      <c r="AH437" s="1386"/>
      <c r="AI437" s="1386"/>
      <c r="AJ437" s="1386"/>
    </row>
    <row r="438" spans="1:55" ht="12.95" customHeight="1">
      <c r="D438" s="1420" t="s">
        <v>1220</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f>'[1]Data Port'!$G$323</f>
        <v>0</v>
      </c>
      <c r="AH438" s="1466"/>
      <c r="AI438" s="1466"/>
      <c r="AJ438" s="1466"/>
    </row>
    <row r="439" spans="1:55" ht="12.95" customHeight="1">
      <c r="D439" s="1420" t="s">
        <v>1029</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f>'[1]Data Port'!$G$324</f>
        <v>342</v>
      </c>
      <c r="AH439" s="1386"/>
      <c r="AI439" s="1386"/>
      <c r="AJ439" s="1386"/>
    </row>
    <row r="440" spans="1:55" ht="12.95" customHeight="1">
      <c r="D440" s="1420" t="s">
        <v>1030</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f>'[1]Data Port'!$G$325</f>
        <v>342</v>
      </c>
      <c r="AH440" s="1386"/>
      <c r="AI440" s="1386"/>
      <c r="AJ440" s="1386"/>
    </row>
    <row r="441" spans="1:55" ht="12.95" customHeight="1">
      <c r="D441" s="1420" t="s">
        <v>1032</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2.95" customHeight="1">
      <c r="D442" s="1420" t="s">
        <v>1031</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f>'[1]Data Port'!$G$326</f>
        <v>185220</v>
      </c>
      <c r="AH442" s="1418"/>
      <c r="AI442" s="1418"/>
      <c r="AJ442" s="1418"/>
    </row>
    <row r="443" spans="1:55" ht="12.95" customHeight="1">
      <c r="D443" s="1420" t="s">
        <v>1033</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f>'[1]Data Port'!$G$327</f>
        <v>185220</v>
      </c>
      <c r="AH443" s="1418"/>
      <c r="AI443" s="1418"/>
      <c r="AJ443" s="1418"/>
    </row>
    <row r="444" spans="1:55" ht="12.95" customHeight="1">
      <c r="D444" s="1420" t="s">
        <v>1034</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2.95" customHeight="1">
      <c r="D445" s="1420" t="s">
        <v>1035</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2.95" customHeight="1">
      <c r="D446" s="1420" t="s">
        <v>2085</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f>'[1]Data Port'!$G$328</f>
        <v>3000</v>
      </c>
      <c r="AH446" s="1418"/>
      <c r="AI446" s="1418"/>
      <c r="AJ446" s="1418"/>
      <c r="AZ446" s="34"/>
      <c r="BA446" s="34"/>
      <c r="BB446" s="34"/>
      <c r="BC446" s="34"/>
    </row>
    <row r="447" spans="1:55" ht="12.95" customHeight="1">
      <c r="D447" s="1506" t="s">
        <v>568</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f>'[1]Data Port'!$G$329</f>
        <v>0</v>
      </c>
      <c r="AH447" s="1418"/>
      <c r="AI447" s="1418"/>
      <c r="AJ447" s="1418"/>
      <c r="AZ447" s="3"/>
      <c r="BA447" s="3"/>
      <c r="BB447" s="3"/>
      <c r="BC447" s="3"/>
    </row>
    <row r="448" spans="1:55" ht="12.95" customHeight="1">
      <c r="D448" s="1420" t="s">
        <v>1203</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'[1]Data Port'!$G$330</f>
        <v>27204</v>
      </c>
      <c r="AH448" s="1418"/>
      <c r="AI448" s="1418"/>
      <c r="AJ448" s="1418"/>
      <c r="AZ448" s="3"/>
      <c r="BA448" s="3"/>
      <c r="BB448" s="3"/>
      <c r="BC448" s="3"/>
    </row>
    <row r="449" spans="1:55" ht="12.95" customHeight="1">
      <c r="D449" s="1420" t="s">
        <v>1036</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f>'[1]Data Port'!$G$331</f>
        <v>50287.5</v>
      </c>
      <c r="AH449" s="1418"/>
      <c r="AI449" s="1418"/>
      <c r="AJ449" s="1418"/>
      <c r="BB449" s="3"/>
      <c r="BC449" s="3"/>
    </row>
    <row r="450" spans="1:55" ht="12.95" customHeight="1">
      <c r="D450" s="1580" t="s">
        <v>1037</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1">
        <f>AG442+AG446+AG448+AG449</f>
        <v>265711.5</v>
      </c>
      <c r="AH450" s="1431"/>
      <c r="AI450" s="1431"/>
      <c r="AJ450" s="1431"/>
      <c r="AZ450" s="3"/>
      <c r="BA450" s="3"/>
      <c r="BB450" s="3"/>
      <c r="BC450" s="3"/>
    </row>
    <row r="451" spans="1:55" ht="12.95" customHeight="1">
      <c r="D451" s="1589" t="s">
        <v>1204</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2.95"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326074.38728323701</v>
      </c>
      <c r="AD454" s="1374"/>
      <c r="AE454" s="1374"/>
      <c r="AF454" s="1374"/>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326074.38728323701</v>
      </c>
      <c r="AD455" s="1374"/>
      <c r="AE455" s="1374"/>
      <c r="AF455" s="1374"/>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302481.11560693639</v>
      </c>
      <c r="AD456" s="1374"/>
      <c r="AE456" s="1374"/>
      <c r="AF456" s="1374"/>
      <c r="AG456" s="177"/>
      <c r="AH456" s="177"/>
      <c r="AI456" s="177"/>
      <c r="AJ456" s="183"/>
      <c r="AZ456" s="3"/>
      <c r="BA456" s="3"/>
      <c r="BB456" s="3"/>
      <c r="BC456" s="3"/>
    </row>
    <row r="457" spans="1:55" ht="12.9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5" t="s">
        <v>2097</v>
      </c>
      <c r="E465" s="1377"/>
      <c r="F465" s="1377"/>
      <c r="G465" s="1377"/>
      <c r="H465" s="1377"/>
      <c r="I465" s="1377"/>
      <c r="J465" s="1377"/>
      <c r="K465" s="1377"/>
      <c r="L465" s="1377"/>
      <c r="M465" s="1377"/>
      <c r="N465" s="1377"/>
      <c r="O465" s="1377"/>
      <c r="P465" s="1377"/>
      <c r="Q465" s="1377"/>
      <c r="R465" s="1377"/>
      <c r="S465" s="1377"/>
      <c r="T465" s="1377"/>
      <c r="U465" s="1377"/>
      <c r="V465" s="1378"/>
      <c r="W465" s="1392">
        <f>'[1]Data Port'!$G$333</f>
        <v>0</v>
      </c>
      <c r="X465" s="1393"/>
      <c r="Y465" s="1394"/>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6" t="s">
        <v>692</v>
      </c>
      <c r="E466" s="1377"/>
      <c r="F466" s="1377"/>
      <c r="G466" s="1377"/>
      <c r="H466" s="1377"/>
      <c r="I466" s="1377"/>
      <c r="J466" s="1377"/>
      <c r="K466" s="1377"/>
      <c r="L466" s="1377"/>
      <c r="M466" s="1377"/>
      <c r="N466" s="1377"/>
      <c r="O466" s="1377"/>
      <c r="P466" s="1377"/>
      <c r="Q466" s="1377"/>
      <c r="R466" s="1377"/>
      <c r="S466" s="1377"/>
      <c r="T466" s="1377"/>
      <c r="U466" s="1377"/>
      <c r="V466" s="1378"/>
      <c r="W466" s="1392">
        <f>'[1]Data Port'!$G$334</f>
        <v>0</v>
      </c>
      <c r="X466" s="1393"/>
      <c r="Y466" s="1394"/>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6" t="s">
        <v>693</v>
      </c>
      <c r="E467" s="1377"/>
      <c r="F467" s="1377"/>
      <c r="G467" s="1377"/>
      <c r="H467" s="1377"/>
      <c r="I467" s="1377"/>
      <c r="J467" s="1377"/>
      <c r="K467" s="1377"/>
      <c r="L467" s="1377"/>
      <c r="M467" s="1377"/>
      <c r="N467" s="1377"/>
      <c r="O467" s="1377"/>
      <c r="P467" s="1377"/>
      <c r="Q467" s="1377"/>
      <c r="R467" s="1377"/>
      <c r="S467" s="1377"/>
      <c r="T467" s="1377"/>
      <c r="U467" s="1377"/>
      <c r="V467" s="1378"/>
      <c r="W467" s="1392">
        <f>'[1]Data Port'!$G$335</f>
        <v>0</v>
      </c>
      <c r="X467" s="1393"/>
      <c r="Y467" s="1394"/>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6" t="s">
        <v>694</v>
      </c>
      <c r="E468" s="1377"/>
      <c r="F468" s="1377"/>
      <c r="G468" s="1377"/>
      <c r="H468" s="1377"/>
      <c r="I468" s="1377"/>
      <c r="J468" s="1377"/>
      <c r="K468" s="1377"/>
      <c r="L468" s="1377"/>
      <c r="M468" s="1377"/>
      <c r="N468" s="1377"/>
      <c r="O468" s="1377"/>
      <c r="P468" s="1377"/>
      <c r="Q468" s="1377"/>
      <c r="R468" s="1377"/>
      <c r="S468" s="1377"/>
      <c r="T468" s="1377"/>
      <c r="U468" s="1377"/>
      <c r="V468" s="1378"/>
      <c r="W468" s="1392">
        <f>'[1]Data Port'!$G$336</f>
        <v>0</v>
      </c>
      <c r="X468" s="1393"/>
      <c r="Y468" s="1394"/>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6" t="s">
        <v>880</v>
      </c>
      <c r="E469" s="1377"/>
      <c r="F469" s="1377"/>
      <c r="G469" s="1377"/>
      <c r="H469" s="1377"/>
      <c r="I469" s="1377"/>
      <c r="J469" s="1377"/>
      <c r="K469" s="1377"/>
      <c r="L469" s="1377"/>
      <c r="M469" s="1377"/>
      <c r="N469" s="1377"/>
      <c r="O469" s="1377"/>
      <c r="P469" s="1377"/>
      <c r="Q469" s="1377"/>
      <c r="R469" s="1377"/>
      <c r="S469" s="1377"/>
      <c r="T469" s="1377"/>
      <c r="U469" s="1377"/>
      <c r="V469" s="1378"/>
      <c r="W469" s="1392">
        <f>'[1]Data Port'!$G$337</f>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6" t="s">
        <v>695</v>
      </c>
      <c r="E470" s="1377"/>
      <c r="F470" s="1377"/>
      <c r="G470" s="1377"/>
      <c r="H470" s="1377"/>
      <c r="I470" s="1377"/>
      <c r="J470" s="1377"/>
      <c r="K470" s="1377"/>
      <c r="L470" s="1377"/>
      <c r="M470" s="1377"/>
      <c r="N470" s="1377"/>
      <c r="O470" s="1377"/>
      <c r="P470" s="1377"/>
      <c r="Q470" s="1377"/>
      <c r="R470" s="1377"/>
      <c r="S470" s="1377"/>
      <c r="T470" s="1377"/>
      <c r="U470" s="1377"/>
      <c r="V470" s="1378"/>
      <c r="W470" s="1392">
        <f>'[1]Data Port'!$G$338</f>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6" t="s">
        <v>1010</v>
      </c>
      <c r="E471" s="1377"/>
      <c r="F471" s="1377"/>
      <c r="G471" s="1377"/>
      <c r="H471" s="1377"/>
      <c r="I471" s="1377"/>
      <c r="J471" s="1377"/>
      <c r="K471" s="1377"/>
      <c r="L471" s="1377"/>
      <c r="M471" s="1377"/>
      <c r="N471" s="1377"/>
      <c r="O471" s="1377"/>
      <c r="P471" s="1377"/>
      <c r="Q471" s="1377"/>
      <c r="R471" s="1377"/>
      <c r="S471" s="1377"/>
      <c r="T471" s="1377"/>
      <c r="U471" s="1377"/>
      <c r="V471" s="1378"/>
      <c r="W471" s="1392">
        <f>'[1]Data Port'!$G$339</f>
        <v>0</v>
      </c>
      <c r="X471" s="1393"/>
      <c r="Y471" s="1394"/>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5" t="s">
        <v>2187</v>
      </c>
      <c r="E472" s="1396"/>
      <c r="F472" s="1396"/>
      <c r="G472" s="1396"/>
      <c r="H472" s="1396"/>
      <c r="I472" s="1396"/>
      <c r="J472" s="1396"/>
      <c r="K472" s="1396"/>
      <c r="L472" s="1396"/>
      <c r="M472" s="1396"/>
      <c r="N472" s="1396"/>
      <c r="O472" s="1396"/>
      <c r="P472" s="1396"/>
      <c r="Q472" s="1396"/>
      <c r="R472" s="1396"/>
      <c r="S472" s="1396"/>
      <c r="T472" s="1396"/>
      <c r="U472" s="1396"/>
      <c r="V472" s="1397"/>
      <c r="W472" s="1392">
        <f>'[1]Data Port'!$G$340</f>
        <v>0</v>
      </c>
      <c r="X472" s="1393"/>
      <c r="Y472" s="139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5" t="s">
        <v>1652</v>
      </c>
      <c r="E473" s="1377"/>
      <c r="F473" s="1377"/>
      <c r="G473" s="1377"/>
      <c r="H473" s="1377"/>
      <c r="I473" s="1377"/>
      <c r="J473" s="1377"/>
      <c r="K473" s="1377"/>
      <c r="L473" s="1377"/>
      <c r="M473" s="1377"/>
      <c r="N473" s="1377"/>
      <c r="O473" s="1377"/>
      <c r="P473" s="1377"/>
      <c r="Q473" s="1377"/>
      <c r="R473" s="1377"/>
      <c r="S473" s="1377"/>
      <c r="T473" s="1377"/>
      <c r="U473" s="1377"/>
      <c r="V473" s="1378"/>
      <c r="W473" s="1392">
        <f>'[1]Data Port'!$G$341</f>
        <v>52</v>
      </c>
      <c r="X473" s="1393"/>
      <c r="Y473" s="139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5"/>
      <c r="H474" s="1676"/>
      <c r="I474" s="1676"/>
      <c r="J474" s="1676"/>
      <c r="K474" s="1676"/>
      <c r="L474" s="1676"/>
      <c r="M474" s="1676"/>
      <c r="N474" s="1676"/>
      <c r="O474" s="1676"/>
      <c r="P474" s="1676"/>
      <c r="Q474" s="1676"/>
      <c r="R474" s="1676"/>
      <c r="S474" s="1676"/>
      <c r="T474" s="1676"/>
      <c r="U474" s="1676"/>
      <c r="V474" s="1677"/>
      <c r="W474" s="1392">
        <v>0</v>
      </c>
      <c r="X474" s="1393"/>
      <c r="Y474" s="139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5" t="s">
        <v>809</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5" customHeight="1">
      <c r="B486" s="45" t="s">
        <v>393</v>
      </c>
      <c r="C486" s="5"/>
      <c r="D486" s="5"/>
      <c r="E486" s="5"/>
      <c r="F486" s="5"/>
      <c r="G486" s="5"/>
      <c r="H486" s="5"/>
      <c r="I486" s="5"/>
      <c r="J486" s="5"/>
      <c r="K486" s="5"/>
      <c r="L486" s="5"/>
      <c r="M486" s="5"/>
      <c r="N486" s="5"/>
      <c r="O486" s="5"/>
      <c r="P486" s="5"/>
      <c r="Q486" s="1371" t="str">
        <f>'[1]Data Port'!$G$344</f>
        <v>Mixed Use Residential</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5" customHeight="1">
      <c r="B487" s="45" t="s">
        <v>394</v>
      </c>
      <c r="C487" s="5"/>
      <c r="D487" s="5"/>
      <c r="E487" s="5"/>
      <c r="F487" s="5"/>
      <c r="G487" s="5"/>
      <c r="H487" s="5"/>
      <c r="I487" s="5"/>
      <c r="J487" s="5"/>
      <c r="K487" s="5"/>
      <c r="L487" s="5"/>
      <c r="M487" s="5"/>
      <c r="N487" s="5"/>
      <c r="O487" s="5"/>
      <c r="P487" s="5"/>
      <c r="Q487" s="1371" t="str">
        <f>'[1]Data Port'!$G$345</f>
        <v>PD-30; 1000 DUA</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5" customHeight="1">
      <c r="B488" s="45" t="s">
        <v>395</v>
      </c>
      <c r="C488" s="5"/>
      <c r="D488" s="5"/>
      <c r="E488" s="5"/>
      <c r="F488" s="5"/>
      <c r="G488" s="5"/>
      <c r="H488" s="5"/>
      <c r="I488" s="5"/>
      <c r="J488" s="5"/>
      <c r="K488" s="5"/>
      <c r="L488" s="5"/>
      <c r="M488" s="5"/>
      <c r="N488" s="5"/>
      <c r="O488" s="5"/>
      <c r="P488" s="5"/>
      <c r="Q488" s="1371" t="str">
        <f>'[1]Data Port'!$G$346</f>
        <v>PD-30; 1000 DUA</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5" customHeight="1">
      <c r="B489" s="1455" t="s">
        <v>396</v>
      </c>
      <c r="C489" s="1456"/>
      <c r="D489" s="1456"/>
      <c r="E489" s="1456"/>
      <c r="F489" s="1456"/>
      <c r="G489" s="1456"/>
      <c r="H489" s="1456"/>
      <c r="I489" s="1456"/>
      <c r="J489" s="1456"/>
      <c r="K489" s="1456"/>
      <c r="L489" s="1456"/>
      <c r="M489" s="1456"/>
      <c r="N489" s="1456"/>
      <c r="O489" s="1456"/>
      <c r="P489" s="1457"/>
      <c r="Q489" s="1461" t="s">
        <v>668</v>
      </c>
      <c r="R489" s="1462"/>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6"/>
      <c r="T490" s="1531"/>
      <c r="U490" s="1531"/>
      <c r="V490" s="1531"/>
      <c r="W490" s="1531"/>
      <c r="X490" s="1531"/>
      <c r="Y490" s="1531"/>
      <c r="Z490" s="1531"/>
      <c r="AA490" s="1531"/>
      <c r="AB490" s="1531"/>
      <c r="AC490" s="1531"/>
      <c r="AD490" s="1531"/>
      <c r="AE490" s="1531"/>
      <c r="AF490" s="1531"/>
      <c r="AG490" s="1531"/>
      <c r="AH490" s="1531"/>
      <c r="AI490" s="1531"/>
      <c r="AJ490" s="1531"/>
      <c r="AK490" s="1577"/>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379" t="str">
        <f>'[1]Data Port'!$G$348</f>
        <v>No</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1" t="str">
        <f>'[1]Data Port'!$G$349</f>
        <v>183 Max</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1">
        <f>'[1]Data Port'!$G$350</f>
        <v>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371">
        <f>'[1]Data Port'!$G$351</f>
        <v>144</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5" customHeight="1">
      <c r="B495" s="121" t="s">
        <v>1667</v>
      </c>
      <c r="C495" s="5"/>
      <c r="D495" s="5"/>
      <c r="E495" s="5"/>
      <c r="F495" s="5"/>
      <c r="G495" s="5"/>
      <c r="H495" s="5"/>
      <c r="I495" s="5"/>
      <c r="J495" s="5"/>
      <c r="K495" s="5"/>
      <c r="L495" s="5"/>
      <c r="M495" s="1382">
        <f>'[1]Data Port'!$G$351</f>
        <v>144</v>
      </c>
      <c r="N495" s="1383"/>
      <c r="O495" s="1383"/>
      <c r="P495" s="1384"/>
      <c r="Q495" s="121" t="s">
        <v>1668</v>
      </c>
      <c r="R495" s="5"/>
      <c r="S495" s="5"/>
      <c r="T495" s="5"/>
      <c r="U495" s="5"/>
      <c r="V495" s="5"/>
      <c r="W495" s="5"/>
      <c r="X495" s="5"/>
      <c r="Y495" s="5"/>
      <c r="Z495" s="5"/>
      <c r="AA495" s="5"/>
      <c r="AB495" s="5"/>
      <c r="AC495" s="5"/>
      <c r="AD495" s="5"/>
      <c r="AE495" s="5"/>
      <c r="AF495" s="5"/>
      <c r="AG495" s="5"/>
      <c r="AH495" s="1382">
        <f>M495-Q494</f>
        <v>0</v>
      </c>
      <c r="AI495" s="1383"/>
      <c r="AJ495" s="1383"/>
      <c r="AK495" s="1384"/>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2.95"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0"/>
      <c r="AD501" s="1391"/>
      <c r="AE501" s="1391"/>
      <c r="AF501" s="1391"/>
      <c r="AG501" s="13" t="s">
        <v>402</v>
      </c>
      <c r="AH501" s="1429"/>
      <c r="AI501" s="1429"/>
      <c r="AJ501" s="1429"/>
      <c r="AK501" s="1430"/>
      <c r="AZ501" s="3"/>
      <c r="BA501" s="3"/>
      <c r="BB501" s="3"/>
      <c r="BC501" s="3"/>
      <c r="BD501" s="3"/>
      <c r="BE501" s="3"/>
      <c r="BF501" s="3"/>
      <c r="BG501" s="3"/>
      <c r="BH501" s="3"/>
      <c r="BI501" s="3"/>
      <c r="BJ501" s="3"/>
      <c r="BK501" s="3"/>
      <c r="BL501" s="3"/>
      <c r="BM501" s="3"/>
      <c r="BN501" s="3"/>
    </row>
    <row r="502" spans="1:66" ht="12.95"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0">
        <v>9</v>
      </c>
      <c r="AD502" s="1391"/>
      <c r="AE502" s="1391"/>
      <c r="AF502" s="1391"/>
      <c r="AG502" s="38" t="s">
        <v>402</v>
      </c>
      <c r="AH502" s="1429">
        <v>2025</v>
      </c>
      <c r="AI502" s="1429"/>
      <c r="AJ502" s="1429"/>
      <c r="AK502" s="1430"/>
      <c r="AZ502" s="3"/>
      <c r="BA502" s="3"/>
      <c r="BB502" s="3"/>
      <c r="BC502" s="3"/>
      <c r="BD502" s="3"/>
      <c r="BE502" s="3"/>
      <c r="BF502" s="3"/>
      <c r="BG502" s="3"/>
      <c r="BH502" s="3"/>
      <c r="BI502" s="3"/>
      <c r="BJ502" s="3"/>
      <c r="BK502" s="3"/>
      <c r="BL502" s="3"/>
      <c r="BM502" s="3"/>
      <c r="BN502" s="3"/>
    </row>
    <row r="503" spans="1:66" ht="12.95"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0" t="s">
        <v>590</v>
      </c>
      <c r="AD503" s="1391"/>
      <c r="AE503" s="1391"/>
      <c r="AF503" s="1391"/>
      <c r="AG503" s="13" t="s">
        <v>402</v>
      </c>
      <c r="AH503" s="1429"/>
      <c r="AI503" s="1429"/>
      <c r="AJ503" s="1429"/>
      <c r="AK503" s="1430"/>
      <c r="AZ503" s="3"/>
      <c r="BA503" s="3"/>
      <c r="BB503" s="3"/>
      <c r="BC503" s="3"/>
      <c r="BD503" s="3"/>
      <c r="BE503" s="3"/>
      <c r="BF503" s="3"/>
      <c r="BG503" s="3"/>
      <c r="BH503" s="3"/>
      <c r="BI503" s="3"/>
      <c r="BJ503" s="3"/>
      <c r="BK503" s="3"/>
      <c r="BL503" s="3"/>
      <c r="BM503" s="3"/>
      <c r="BN503" s="3"/>
    </row>
    <row r="504" spans="1:66" ht="12.95" customHeight="1">
      <c r="B504" s="1401"/>
      <c r="C504" s="1402"/>
      <c r="D504" s="1402"/>
      <c r="E504" s="1402"/>
      <c r="F504" s="1402"/>
      <c r="G504" s="1402"/>
      <c r="H504" s="1403"/>
      <c r="I504" t="s">
        <v>409</v>
      </c>
      <c r="AC504" s="1390" t="s">
        <v>590</v>
      </c>
      <c r="AD504" s="1391"/>
      <c r="AE504" s="1391"/>
      <c r="AF504" s="1391"/>
      <c r="AG504" s="13" t="s">
        <v>402</v>
      </c>
      <c r="AH504" s="1429"/>
      <c r="AI504" s="1429"/>
      <c r="AJ504" s="1429"/>
      <c r="AK504" s="1430"/>
      <c r="AZ504" s="3"/>
      <c r="BA504" s="3"/>
      <c r="BB504" s="3"/>
      <c r="BC504" s="3"/>
      <c r="BD504" s="3"/>
      <c r="BE504" s="3"/>
      <c r="BF504" s="3"/>
      <c r="BG504" s="3"/>
      <c r="BH504" s="3"/>
      <c r="BI504" s="3"/>
      <c r="BJ504" s="3"/>
      <c r="BK504" s="3"/>
      <c r="BL504" s="3"/>
      <c r="BM504" s="3"/>
      <c r="BN504" s="3"/>
    </row>
    <row r="505" spans="1:66" ht="12.95" customHeight="1">
      <c r="B505" s="1401"/>
      <c r="C505" s="1402"/>
      <c r="D505" s="1402"/>
      <c r="E505" s="1402"/>
      <c r="F505" s="1402"/>
      <c r="G505" s="1402"/>
      <c r="H505" s="1403"/>
      <c r="I505" t="s">
        <v>410</v>
      </c>
      <c r="AC505" s="1390" t="s">
        <v>590</v>
      </c>
      <c r="AD505" s="1391"/>
      <c r="AE505" s="1391"/>
      <c r="AF505" s="1391"/>
      <c r="AG505" s="13" t="s">
        <v>402</v>
      </c>
      <c r="AH505" s="1429"/>
      <c r="AI505" s="1429"/>
      <c r="AJ505" s="1429"/>
      <c r="AK505" s="1430"/>
      <c r="AZ505" s="3"/>
      <c r="BA505" s="3"/>
      <c r="BB505" s="3"/>
      <c r="BC505" s="3"/>
      <c r="BD505" s="3"/>
      <c r="BE505" s="3"/>
      <c r="BF505" s="3"/>
      <c r="BG505" s="3"/>
      <c r="BH505" s="3"/>
      <c r="BI505" s="3"/>
      <c r="BJ505" s="3"/>
      <c r="BK505" s="3"/>
      <c r="BL505" s="3"/>
      <c r="BM505" s="3"/>
      <c r="BN505" s="3"/>
    </row>
    <row r="506" spans="1:66" ht="12.95" customHeight="1">
      <c r="B506" s="1401"/>
      <c r="C506" s="1402"/>
      <c r="D506" s="1402"/>
      <c r="E506" s="1402"/>
      <c r="F506" s="1402"/>
      <c r="G506" s="1402"/>
      <c r="H506" s="1403"/>
      <c r="I506" t="s">
        <v>411</v>
      </c>
      <c r="AC506" s="1390">
        <v>5</v>
      </c>
      <c r="AD506" s="1391"/>
      <c r="AE506" s="1391"/>
      <c r="AF506" s="1391"/>
      <c r="AG506" s="13" t="s">
        <v>402</v>
      </c>
      <c r="AH506" s="1429">
        <v>2026</v>
      </c>
      <c r="AI506" s="1429"/>
      <c r="AJ506" s="1429"/>
      <c r="AK506" s="1430"/>
      <c r="AZ506" s="3"/>
      <c r="BA506" s="3"/>
      <c r="BB506" s="3"/>
      <c r="BC506" s="3"/>
      <c r="BD506" s="3"/>
      <c r="BE506" s="3"/>
      <c r="BF506" s="3"/>
      <c r="BG506" s="3"/>
      <c r="BH506" s="3"/>
      <c r="BI506" s="3"/>
      <c r="BJ506" s="3"/>
      <c r="BK506" s="3"/>
      <c r="BL506" s="3"/>
      <c r="BM506" s="3"/>
      <c r="BN506" s="3"/>
    </row>
    <row r="507" spans="1:66" ht="12.95" customHeight="1">
      <c r="B507" s="1401"/>
      <c r="C507" s="1402"/>
      <c r="D507" s="1402"/>
      <c r="E507" s="1402"/>
      <c r="F507" s="1402"/>
      <c r="G507" s="1402"/>
      <c r="H507" s="1403"/>
      <c r="I507" s="3" t="s">
        <v>412</v>
      </c>
      <c r="AC507" s="1355">
        <v>5</v>
      </c>
      <c r="AD507" s="1356"/>
      <c r="AE507" s="1356"/>
      <c r="AF507" s="1356"/>
      <c r="AG507" s="13" t="s">
        <v>402</v>
      </c>
      <c r="AH507" s="1429">
        <v>2026</v>
      </c>
      <c r="AI507" s="1429"/>
      <c r="AJ507" s="1429"/>
      <c r="AK507" s="1430"/>
      <c r="AZ507" s="3"/>
      <c r="BA507" s="3"/>
      <c r="BB507" s="3"/>
      <c r="BC507" s="3"/>
      <c r="BD507" s="3"/>
      <c r="BE507" s="3"/>
      <c r="BF507" s="3"/>
      <c r="BG507" s="3"/>
      <c r="BH507" s="3"/>
      <c r="BI507" s="3"/>
      <c r="BJ507" s="3"/>
      <c r="BK507" s="3"/>
      <c r="BL507" s="3"/>
      <c r="BM507" s="3"/>
      <c r="BN507" s="3"/>
    </row>
    <row r="508" spans="1:66" ht="12.95" customHeight="1">
      <c r="B508" s="1401"/>
      <c r="C508" s="1402"/>
      <c r="D508" s="1402"/>
      <c r="E508" s="1402"/>
      <c r="F508" s="1402"/>
      <c r="G508" s="1402"/>
      <c r="H508" s="1403"/>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0" t="s">
        <v>590</v>
      </c>
      <c r="AD508" s="1391"/>
      <c r="AE508" s="1391"/>
      <c r="AF508" s="1391"/>
      <c r="AG508" s="38" t="s">
        <v>402</v>
      </c>
      <c r="AH508" s="1429"/>
      <c r="AI508" s="1429"/>
      <c r="AJ508" s="1429"/>
      <c r="AK508" s="1430"/>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386" t="s">
        <v>668</v>
      </c>
      <c r="AD509" s="1386"/>
      <c r="AE509" s="1386"/>
      <c r="AF509" s="1386"/>
      <c r="AG509" s="13"/>
      <c r="AH509" s="1407"/>
      <c r="AI509" s="1407"/>
      <c r="AJ509" s="1407"/>
      <c r="AK509" s="140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55"/>
      <c r="AD510" s="1356"/>
      <c r="AE510" s="1356"/>
      <c r="AF510" s="1357"/>
      <c r="AG510" s="13"/>
      <c r="AH510" s="1407"/>
      <c r="AI510" s="1407"/>
      <c r="AJ510" s="1407"/>
      <c r="AK510" s="140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1"/>
      <c r="AI512" s="1591"/>
      <c r="AJ512" s="1591"/>
      <c r="AK512" s="1592"/>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2101</v>
      </c>
    </row>
    <row r="514" spans="2:66" ht="12.95"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0" t="str">
        <f>LEFT(TEXT('[1]Data Port'!$G$2,"m/d/yyyy"),1)</f>
        <v>9</v>
      </c>
      <c r="AD514" s="1391"/>
      <c r="AE514" s="1391"/>
      <c r="AF514" s="1391"/>
      <c r="AG514" s="13" t="s">
        <v>402</v>
      </c>
      <c r="AH514" s="1429" t="str">
        <f>RIGHT(TEXT('[1]Data Port'!$G$2,"mm/dd/yyyy"),4)</f>
        <v>2025</v>
      </c>
      <c r="AI514" s="1429"/>
      <c r="AJ514" s="1429"/>
      <c r="AK514" s="1430"/>
      <c r="AZ514" s="3"/>
      <c r="BA514" s="3"/>
      <c r="BB514" s="3"/>
      <c r="BC514" s="3"/>
      <c r="BD514" s="3"/>
      <c r="BE514" s="3"/>
      <c r="BF514" s="3"/>
      <c r="BG514" s="3"/>
      <c r="BH514" s="3"/>
      <c r="BI514" s="3"/>
      <c r="BJ514" s="3"/>
      <c r="BK514" s="3"/>
      <c r="BL514" s="3"/>
      <c r="BM514" s="3"/>
      <c r="BN514" s="3" t="s">
        <v>2102</v>
      </c>
    </row>
    <row r="515" spans="2:66" ht="12.95" customHeight="1">
      <c r="B515" s="1401"/>
      <c r="C515" s="1402"/>
      <c r="D515" s="1402"/>
      <c r="E515" s="1402"/>
      <c r="F515" s="1402"/>
      <c r="G515" s="1402"/>
      <c r="H515" s="1403"/>
      <c r="I515" t="s">
        <v>415</v>
      </c>
      <c r="AC515" s="1390" t="str">
        <f>LEFT(TEXT('[1]Data Port'!$G$2,"m/d/yyyy"),1)</f>
        <v>9</v>
      </c>
      <c r="AD515" s="1391"/>
      <c r="AE515" s="1391"/>
      <c r="AF515" s="1391"/>
      <c r="AG515" s="13" t="s">
        <v>402</v>
      </c>
      <c r="AH515" s="1429" t="str">
        <f>RIGHT(TEXT('[1]Data Port'!$G$2,"mm/dd/yyyy"),4)</f>
        <v>2025</v>
      </c>
      <c r="AI515" s="1429"/>
      <c r="AJ515" s="1429"/>
      <c r="AK515" s="1430"/>
      <c r="AZ515" s="3"/>
      <c r="BA515" s="3"/>
      <c r="BB515" s="3"/>
      <c r="BC515" s="3"/>
      <c r="BD515" s="3"/>
      <c r="BE515" s="3"/>
      <c r="BF515" s="3"/>
      <c r="BG515" s="3"/>
      <c r="BH515" s="3"/>
      <c r="BI515" s="3"/>
      <c r="BJ515" s="3"/>
      <c r="BK515" s="3"/>
      <c r="BL515" s="3"/>
      <c r="BM515" s="3"/>
      <c r="BN515" s="3" t="s">
        <v>2103</v>
      </c>
    </row>
    <row r="516" spans="2:66" ht="12.95"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0" t="str">
        <f>LEFT(TEXT('[1]Data Port'!$G$4,"m/d/yyyy"),1)</f>
        <v>5</v>
      </c>
      <c r="AD516" s="1391"/>
      <c r="AE516" s="1391"/>
      <c r="AF516" s="1391"/>
      <c r="AG516" s="38" t="s">
        <v>402</v>
      </c>
      <c r="AH516" s="1429" t="str">
        <f>RIGHT(TEXT('[1]Data Port'!$G$4,"mm/dd/yyyy"),4)</f>
        <v>2026</v>
      </c>
      <c r="AI516" s="1429"/>
      <c r="AJ516" s="1429"/>
      <c r="AK516" s="1430"/>
      <c r="AZ516" s="3"/>
      <c r="BA516" s="3"/>
      <c r="BB516" s="3"/>
      <c r="BC516" s="3"/>
      <c r="BD516" s="3"/>
      <c r="BE516" s="3"/>
      <c r="BF516" s="3"/>
      <c r="BG516" s="3"/>
      <c r="BH516" s="3"/>
      <c r="BI516" s="3"/>
      <c r="BJ516" s="3"/>
      <c r="BK516" s="3"/>
      <c r="BL516" s="3"/>
      <c r="BM516" s="3"/>
      <c r="BN516" s="3" t="s">
        <v>2104</v>
      </c>
    </row>
    <row r="517" spans="2:66" ht="12.95"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5" t="str">
        <f>LEFT(TEXT('[1]Data Port'!$G$2,"m/d/yyyy"),1)</f>
        <v>9</v>
      </c>
      <c r="AD517" s="1356"/>
      <c r="AE517" s="1356"/>
      <c r="AF517" s="1356"/>
      <c r="AG517" s="129" t="s">
        <v>402</v>
      </c>
      <c r="AH517" s="1429" t="str">
        <f>RIGHT(TEXT('[1]Data Port'!$G$2,"mm/dd/yyyy"),4)</f>
        <v>2025</v>
      </c>
      <c r="AI517" s="1429"/>
      <c r="AJ517" s="1429"/>
      <c r="AK517" s="1430"/>
      <c r="AZ517" s="3"/>
      <c r="BB517" s="3"/>
      <c r="BC517" s="3"/>
      <c r="BD517" s="3"/>
      <c r="BE517" s="3"/>
      <c r="BF517" s="3"/>
      <c r="BG517" s="3"/>
      <c r="BH517" s="3"/>
      <c r="BI517" s="3"/>
      <c r="BJ517" s="3"/>
      <c r="BK517" s="3"/>
      <c r="BL517" s="3"/>
      <c r="BM517" s="3"/>
      <c r="BN517" s="3" t="s">
        <v>2105</v>
      </c>
    </row>
    <row r="518" spans="2:66" ht="12.95" customHeight="1">
      <c r="B518" s="1401"/>
      <c r="C518" s="1402"/>
      <c r="D518" s="1402"/>
      <c r="E518" s="1402"/>
      <c r="F518" s="1402"/>
      <c r="G518" s="1402"/>
      <c r="H518" s="1403"/>
      <c r="I518" t="s">
        <v>415</v>
      </c>
      <c r="AC518" s="1390" t="str">
        <f>LEFT(TEXT('[1]Data Port'!$G$2,"m/d/yyyy"),1)</f>
        <v>9</v>
      </c>
      <c r="AD518" s="1391"/>
      <c r="AE518" s="1391"/>
      <c r="AF518" s="1391"/>
      <c r="AG518" s="13" t="s">
        <v>402</v>
      </c>
      <c r="AH518" s="1429" t="str">
        <f>RIGHT(TEXT('[1]Data Port'!$G$2,"mm/dd/yyyy"),4)</f>
        <v>2025</v>
      </c>
      <c r="AI518" s="1429"/>
      <c r="AJ518" s="1429"/>
      <c r="AK518" s="1430"/>
      <c r="BB518" s="3"/>
      <c r="BC518" s="3"/>
      <c r="BD518" s="3"/>
      <c r="BE518" s="3"/>
      <c r="BF518" s="3"/>
      <c r="BG518" s="3"/>
      <c r="BH518" s="3"/>
      <c r="BI518" s="3"/>
      <c r="BJ518" s="3"/>
      <c r="BK518" s="3"/>
      <c r="BL518" s="3"/>
      <c r="BM518" s="3"/>
      <c r="BN518" s="3" t="s">
        <v>2106</v>
      </c>
    </row>
    <row r="519" spans="2:66" ht="12.95"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0" t="str">
        <f>LEFT(TEXT('[1]Data Port'!$G$4,"m/d/yyyy"),1)</f>
        <v>5</v>
      </c>
      <c r="AD519" s="1391"/>
      <c r="AE519" s="1391"/>
      <c r="AF519" s="1391"/>
      <c r="AG519" s="38" t="s">
        <v>402</v>
      </c>
      <c r="AH519" s="1429" t="str">
        <f>RIGHT(TEXT('[1]Data Port'!$G$4,"mm/dd/yyyy"),4)</f>
        <v>2026</v>
      </c>
      <c r="AI519" s="1429"/>
      <c r="AJ519" s="1429"/>
      <c r="AK519" s="1430"/>
      <c r="BB519" s="3"/>
      <c r="BC519" s="3"/>
      <c r="BD519" s="3"/>
      <c r="BE519" s="3"/>
      <c r="BF519" s="3"/>
      <c r="BG519" s="3"/>
      <c r="BH519" s="3"/>
      <c r="BI519" s="3"/>
      <c r="BJ519" s="3"/>
      <c r="BK519" s="3"/>
      <c r="BL519" s="3"/>
      <c r="BM519" s="3"/>
      <c r="BN519" s="3" t="s">
        <v>2107</v>
      </c>
    </row>
    <row r="520" spans="2:66" ht="12.95" customHeight="1">
      <c r="B520" s="1398" t="s">
        <v>418</v>
      </c>
      <c r="C520" s="1399"/>
      <c r="D520" s="1399"/>
      <c r="E520" s="1399"/>
      <c r="F520" s="1399"/>
      <c r="G520" s="1399"/>
      <c r="H520" s="1400"/>
      <c r="I520" s="41" t="s">
        <v>419</v>
      </c>
      <c r="J520" s="42"/>
      <c r="K520" s="42"/>
      <c r="L520" s="42"/>
      <c r="M520" s="42"/>
      <c r="N520" s="42"/>
      <c r="O520" s="1435" t="s">
        <v>334</v>
      </c>
      <c r="P520" s="1436"/>
      <c r="Q520" s="1436"/>
      <c r="R520" s="1436"/>
      <c r="S520" s="1436"/>
      <c r="T520" s="1436"/>
      <c r="U520" s="1436"/>
      <c r="V520" s="1436"/>
      <c r="W520" s="1436"/>
      <c r="X520" s="1436"/>
      <c r="Y520" s="1436"/>
      <c r="Z520" s="1436"/>
      <c r="AA520" s="1436"/>
      <c r="AB520" s="58"/>
      <c r="AC520" s="1355" t="s">
        <v>590</v>
      </c>
      <c r="AD520" s="1356"/>
      <c r="AE520" s="1356"/>
      <c r="AF520" s="1356"/>
      <c r="AG520" s="129" t="s">
        <v>402</v>
      </c>
      <c r="AH520" s="1429"/>
      <c r="AI520" s="1429"/>
      <c r="AJ520" s="1429"/>
      <c r="AK520" s="1430"/>
      <c r="AZ520" s="3"/>
      <c r="BB520" s="3"/>
      <c r="BC520" s="3"/>
      <c r="BD520" s="3"/>
      <c r="BE520" s="3"/>
      <c r="BF520" s="3"/>
      <c r="BG520" s="3"/>
      <c r="BH520" s="3"/>
      <c r="BI520" s="3"/>
      <c r="BJ520" s="3"/>
      <c r="BK520" s="3"/>
      <c r="BL520" s="3"/>
      <c r="BM520" s="3"/>
      <c r="BN520" s="3" t="s">
        <v>2108</v>
      </c>
    </row>
    <row r="521" spans="2:66" ht="12.95" customHeight="1">
      <c r="B521" s="1401"/>
      <c r="C521" s="1402"/>
      <c r="D521" s="1402"/>
      <c r="E521" s="1402"/>
      <c r="F521" s="1402"/>
      <c r="G521" s="1402"/>
      <c r="H521" s="1403"/>
      <c r="I521" s="114" t="s">
        <v>420</v>
      </c>
      <c r="AB521" s="65"/>
      <c r="AC521" s="1390" t="s">
        <v>590</v>
      </c>
      <c r="AD521" s="1391"/>
      <c r="AE521" s="1391"/>
      <c r="AF521" s="1391"/>
      <c r="AG521" s="13" t="s">
        <v>402</v>
      </c>
      <c r="AH521" s="1429"/>
      <c r="AI521" s="1429"/>
      <c r="AJ521" s="1429"/>
      <c r="AK521" s="1430"/>
      <c r="AZ521" s="3"/>
      <c r="BB521" s="3"/>
      <c r="BC521" s="3"/>
      <c r="BD521" s="3"/>
      <c r="BE521" s="3"/>
      <c r="BF521" s="3"/>
      <c r="BG521" s="3"/>
      <c r="BH521" s="3"/>
      <c r="BI521" s="3"/>
      <c r="BJ521" s="3"/>
      <c r="BK521" s="3"/>
      <c r="BL521" s="3"/>
      <c r="BM521" s="3"/>
      <c r="BN521" s="3" t="s">
        <v>2109</v>
      </c>
    </row>
    <row r="522" spans="2:66" ht="12.95"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0" t="s">
        <v>590</v>
      </c>
      <c r="AD522" s="1391"/>
      <c r="AE522" s="1391"/>
      <c r="AF522" s="1391"/>
      <c r="AG522" s="38" t="s">
        <v>402</v>
      </c>
      <c r="AH522" s="1429"/>
      <c r="AI522" s="1429"/>
      <c r="AJ522" s="1429"/>
      <c r="AK522" s="1430"/>
      <c r="AZ522" s="3"/>
      <c r="BA522" s="3"/>
      <c r="BB522" s="3"/>
      <c r="BC522" s="3"/>
      <c r="BD522" s="3"/>
      <c r="BE522" s="3"/>
      <c r="BF522" s="3"/>
      <c r="BG522" s="3"/>
      <c r="BH522" s="3"/>
      <c r="BI522" s="3"/>
      <c r="BJ522" s="3"/>
      <c r="BK522" s="3"/>
      <c r="BL522" s="3"/>
      <c r="BM522" s="3"/>
      <c r="BN522" s="3" t="s">
        <v>2110</v>
      </c>
    </row>
    <row r="523" spans="2:66" ht="12.95" customHeight="1">
      <c r="B523" s="1401"/>
      <c r="C523" s="1402"/>
      <c r="D523" s="1402"/>
      <c r="E523" s="1402"/>
      <c r="F523" s="1402"/>
      <c r="G523" s="1402"/>
      <c r="H523" s="1403"/>
      <c r="I523" s="42" t="s">
        <v>422</v>
      </c>
      <c r="J523" s="42"/>
      <c r="K523" s="42"/>
      <c r="L523" s="42"/>
      <c r="M523" s="42"/>
      <c r="N523" s="42"/>
      <c r="O523" s="1435" t="s">
        <v>334</v>
      </c>
      <c r="P523" s="1436"/>
      <c r="Q523" s="1436"/>
      <c r="R523" s="1436"/>
      <c r="S523" s="1436"/>
      <c r="T523" s="1436"/>
      <c r="U523" s="1436"/>
      <c r="V523" s="1436"/>
      <c r="W523" s="1436"/>
      <c r="X523" s="1436"/>
      <c r="Y523" s="1436"/>
      <c r="Z523" s="1436"/>
      <c r="AA523" s="1436"/>
      <c r="AC523" s="1390" t="s">
        <v>590</v>
      </c>
      <c r="AD523" s="1391"/>
      <c r="AE523" s="1391"/>
      <c r="AF523" s="1391"/>
      <c r="AG523" s="13" t="s">
        <v>402</v>
      </c>
      <c r="AH523" s="1429"/>
      <c r="AI523" s="1429"/>
      <c r="AJ523" s="1429"/>
      <c r="AK523" s="1430"/>
      <c r="AZ523" s="3"/>
      <c r="BA523" s="3"/>
      <c r="BB523" s="3"/>
      <c r="BC523" s="3"/>
      <c r="BD523" s="3"/>
      <c r="BE523" s="3"/>
      <c r="BF523" s="3"/>
      <c r="BG523" s="3"/>
      <c r="BH523" s="3"/>
      <c r="BI523" s="3"/>
      <c r="BJ523" s="3"/>
      <c r="BK523" s="3"/>
      <c r="BL523" s="3"/>
      <c r="BM523" s="3"/>
      <c r="BN523" s="3" t="s">
        <v>2111</v>
      </c>
    </row>
    <row r="524" spans="2:66" ht="12.95" customHeight="1">
      <c r="B524" s="1401"/>
      <c r="C524" s="1402"/>
      <c r="D524" s="1402"/>
      <c r="E524" s="1402"/>
      <c r="F524" s="1402"/>
      <c r="G524" s="1402"/>
      <c r="H524" s="1403"/>
      <c r="I524" t="s">
        <v>420</v>
      </c>
      <c r="AC524" s="1390" t="s">
        <v>590</v>
      </c>
      <c r="AD524" s="1391"/>
      <c r="AE524" s="1391"/>
      <c r="AF524" s="1391"/>
      <c r="AG524" s="13" t="s">
        <v>402</v>
      </c>
      <c r="AH524" s="1429"/>
      <c r="AI524" s="1429"/>
      <c r="AJ524" s="1429"/>
      <c r="AK524" s="1430"/>
      <c r="AZ524" s="3"/>
      <c r="BA524" s="3"/>
      <c r="BB524" s="3"/>
      <c r="BC524" s="3"/>
      <c r="BD524" s="3"/>
      <c r="BE524" s="3"/>
      <c r="BF524" s="3"/>
      <c r="BG524" s="3"/>
      <c r="BH524" s="3"/>
      <c r="BI524" s="3"/>
      <c r="BJ524" s="3"/>
      <c r="BK524" s="3"/>
      <c r="BL524" s="3"/>
      <c r="BM524" s="3"/>
      <c r="BN524" s="3" t="s">
        <v>2112</v>
      </c>
    </row>
    <row r="525" spans="2:66" ht="12.95"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0" t="s">
        <v>590</v>
      </c>
      <c r="AD525" s="1391"/>
      <c r="AE525" s="1391"/>
      <c r="AF525" s="1391"/>
      <c r="AG525" s="38" t="s">
        <v>402</v>
      </c>
      <c r="AH525" s="1429"/>
      <c r="AI525" s="1429"/>
      <c r="AJ525" s="1429"/>
      <c r="AK525" s="1430"/>
      <c r="AZ525" s="3"/>
      <c r="BA525" s="3"/>
      <c r="BB525" s="3"/>
      <c r="BC525" s="3"/>
      <c r="BD525" s="3"/>
      <c r="BE525" s="3"/>
      <c r="BF525" s="3"/>
      <c r="BG525" s="3"/>
      <c r="BH525" s="3"/>
      <c r="BI525" s="3"/>
      <c r="BJ525" s="3"/>
      <c r="BK525" s="3"/>
      <c r="BL525" s="3"/>
      <c r="BM525" s="3"/>
      <c r="BN525" s="3" t="s">
        <v>2113</v>
      </c>
    </row>
    <row r="526" spans="2:66" ht="12.95" customHeight="1">
      <c r="B526" s="1401"/>
      <c r="C526" s="1402"/>
      <c r="D526" s="1402"/>
      <c r="E526" s="1402"/>
      <c r="F526" s="1402"/>
      <c r="G526" s="1402"/>
      <c r="H526" s="1403"/>
      <c r="I526" s="42" t="s">
        <v>422</v>
      </c>
      <c r="J526" s="42"/>
      <c r="K526" s="42"/>
      <c r="L526" s="42"/>
      <c r="M526" s="42"/>
      <c r="N526" s="42"/>
      <c r="O526" s="1435" t="s">
        <v>334</v>
      </c>
      <c r="P526" s="1436"/>
      <c r="Q526" s="1436"/>
      <c r="R526" s="1436"/>
      <c r="S526" s="1436"/>
      <c r="T526" s="1436"/>
      <c r="U526" s="1436"/>
      <c r="V526" s="1436"/>
      <c r="W526" s="1436"/>
      <c r="X526" s="1436"/>
      <c r="Y526" s="1436"/>
      <c r="Z526" s="1436"/>
      <c r="AA526" s="1436"/>
      <c r="AC526" s="1390" t="s">
        <v>590</v>
      </c>
      <c r="AD526" s="1391"/>
      <c r="AE526" s="1391"/>
      <c r="AF526" s="1391"/>
      <c r="AG526" s="13" t="s">
        <v>402</v>
      </c>
      <c r="AH526" s="1429"/>
      <c r="AI526" s="1429"/>
      <c r="AJ526" s="1429"/>
      <c r="AK526" s="1430"/>
      <c r="AZ526" s="3"/>
      <c r="BA526" s="3"/>
      <c r="BB526" s="3"/>
      <c r="BC526" s="3"/>
      <c r="BD526" s="3"/>
      <c r="BE526" s="3"/>
      <c r="BF526" s="3"/>
      <c r="BG526" s="3"/>
      <c r="BH526" s="3"/>
      <c r="BI526" s="3"/>
      <c r="BJ526" s="3"/>
      <c r="BK526" s="3"/>
      <c r="BL526" s="3"/>
      <c r="BM526" s="3"/>
      <c r="BN526" s="3" t="s">
        <v>2114</v>
      </c>
    </row>
    <row r="527" spans="2:66" ht="12.95" customHeight="1">
      <c r="B527" s="1401"/>
      <c r="C527" s="1402"/>
      <c r="D527" s="1402"/>
      <c r="E527" s="1402"/>
      <c r="F527" s="1402"/>
      <c r="G527" s="1402"/>
      <c r="H527" s="1403"/>
      <c r="I527" t="s">
        <v>420</v>
      </c>
      <c r="AC527" s="1390" t="s">
        <v>590</v>
      </c>
      <c r="AD527" s="1391"/>
      <c r="AE527" s="1391"/>
      <c r="AF527" s="1391"/>
      <c r="AG527" s="13" t="s">
        <v>402</v>
      </c>
      <c r="AH527" s="1429"/>
      <c r="AI527" s="1429"/>
      <c r="AJ527" s="1429"/>
      <c r="AK527" s="1430"/>
      <c r="AZ527" s="3"/>
      <c r="BA527" s="3"/>
      <c r="BB527" s="3"/>
      <c r="BC527" s="3"/>
      <c r="BD527" s="3"/>
      <c r="BE527" s="3"/>
      <c r="BF527" s="3"/>
      <c r="BG527" s="3"/>
      <c r="BH527" s="3"/>
      <c r="BI527" s="3"/>
      <c r="BJ527" s="3"/>
      <c r="BK527" s="3"/>
      <c r="BL527" s="3"/>
      <c r="BM527" s="3"/>
      <c r="BN527" s="3" t="s">
        <v>2115</v>
      </c>
    </row>
    <row r="528" spans="2:66" ht="12.95"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0" t="s">
        <v>590</v>
      </c>
      <c r="AD528" s="1391"/>
      <c r="AE528" s="1391"/>
      <c r="AF528" s="1391"/>
      <c r="AG528" s="38" t="s">
        <v>402</v>
      </c>
      <c r="AH528" s="1429"/>
      <c r="AI528" s="1429"/>
      <c r="AJ528" s="1429"/>
      <c r="AK528" s="1430"/>
      <c r="AZ528" s="3"/>
      <c r="BA528" s="3"/>
      <c r="BB528" s="3"/>
      <c r="BC528" s="3"/>
      <c r="BD528" s="3"/>
      <c r="BE528" s="3"/>
      <c r="BF528" s="3"/>
      <c r="BG528" s="3"/>
      <c r="BH528" s="3"/>
      <c r="BI528" s="3"/>
      <c r="BJ528" s="3"/>
      <c r="BK528" s="3"/>
      <c r="BL528" s="3"/>
      <c r="BM528" s="3"/>
      <c r="BN528" s="3" t="s">
        <v>2116</v>
      </c>
    </row>
    <row r="529" spans="1:66" ht="12.95" customHeight="1">
      <c r="B529" s="1401"/>
      <c r="C529" s="1402"/>
      <c r="D529" s="1402"/>
      <c r="E529" s="1402"/>
      <c r="F529" s="1402"/>
      <c r="G529" s="1402"/>
      <c r="H529" s="1403"/>
      <c r="I529" s="42" t="s">
        <v>422</v>
      </c>
      <c r="J529" s="42"/>
      <c r="K529" s="42"/>
      <c r="L529" s="42"/>
      <c r="M529" s="42"/>
      <c r="N529" s="42"/>
      <c r="O529" s="1435" t="s">
        <v>334</v>
      </c>
      <c r="P529" s="1436"/>
      <c r="Q529" s="1436"/>
      <c r="R529" s="1436"/>
      <c r="S529" s="1436"/>
      <c r="T529" s="1436"/>
      <c r="U529" s="1436"/>
      <c r="V529" s="1436"/>
      <c r="W529" s="1436"/>
      <c r="X529" s="1436"/>
      <c r="Y529" s="1436"/>
      <c r="Z529" s="1436"/>
      <c r="AA529" s="1436"/>
      <c r="AC529" s="1390" t="s">
        <v>590</v>
      </c>
      <c r="AD529" s="1391"/>
      <c r="AE529" s="1391"/>
      <c r="AF529" s="1391"/>
      <c r="AG529" s="13" t="s">
        <v>402</v>
      </c>
      <c r="AH529" s="1429"/>
      <c r="AI529" s="1429"/>
      <c r="AJ529" s="1429"/>
      <c r="AK529" s="1430"/>
      <c r="AZ529" s="3"/>
      <c r="BA529" s="3"/>
      <c r="BB529" s="3"/>
      <c r="BC529" s="3"/>
      <c r="BD529" s="3"/>
      <c r="BE529" s="3"/>
      <c r="BF529" s="3"/>
      <c r="BG529" s="3"/>
      <c r="BH529" s="3"/>
      <c r="BI529" s="3"/>
      <c r="BJ529" s="3"/>
      <c r="BK529" s="3"/>
      <c r="BL529" s="3"/>
      <c r="BM529" s="3"/>
      <c r="BN529" s="3" t="s">
        <v>2117</v>
      </c>
    </row>
    <row r="530" spans="1:66" ht="12.95" customHeight="1">
      <c r="B530" s="1401"/>
      <c r="C530" s="1402"/>
      <c r="D530" s="1402"/>
      <c r="E530" s="1402"/>
      <c r="F530" s="1402"/>
      <c r="G530" s="1402"/>
      <c r="H530" s="1403"/>
      <c r="I530" t="s">
        <v>420</v>
      </c>
      <c r="AC530" s="1390" t="s">
        <v>590</v>
      </c>
      <c r="AD530" s="1391"/>
      <c r="AE530" s="1391"/>
      <c r="AF530" s="1391"/>
      <c r="AG530" s="13" t="s">
        <v>402</v>
      </c>
      <c r="AH530" s="1429"/>
      <c r="AI530" s="1429"/>
      <c r="AJ530" s="1429"/>
      <c r="AK530" s="1430"/>
      <c r="AZ530" s="3"/>
      <c r="BA530" s="3"/>
      <c r="BB530" s="3"/>
      <c r="BC530" s="3"/>
      <c r="BD530" s="3"/>
      <c r="BE530" s="3"/>
      <c r="BF530" s="3"/>
      <c r="BG530" s="3"/>
      <c r="BH530" s="3"/>
      <c r="BI530" s="3"/>
      <c r="BJ530" s="3"/>
      <c r="BK530" s="3"/>
      <c r="BL530" s="3"/>
      <c r="BM530" s="3"/>
      <c r="BN530" s="3" t="s">
        <v>2118</v>
      </c>
    </row>
    <row r="531" spans="1:66" ht="12.95"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0" t="s">
        <v>590</v>
      </c>
      <c r="AD531" s="1391"/>
      <c r="AE531" s="1391"/>
      <c r="AF531" s="1391"/>
      <c r="AG531" s="38" t="s">
        <v>402</v>
      </c>
      <c r="AH531" s="1429"/>
      <c r="AI531" s="1429"/>
      <c r="AJ531" s="1429"/>
      <c r="AK531" s="1430"/>
      <c r="AZ531" s="3"/>
      <c r="BA531" s="3"/>
      <c r="BB531" s="3"/>
      <c r="BC531" s="3"/>
      <c r="BD531" s="3"/>
      <c r="BE531" s="3"/>
      <c r="BF531" s="3"/>
      <c r="BG531" s="3"/>
      <c r="BH531" s="3"/>
      <c r="BI531" s="3"/>
      <c r="BJ531" s="3"/>
      <c r="BK531" s="3"/>
      <c r="BL531" s="3"/>
      <c r="BM531" s="3"/>
      <c r="BN531" s="3" t="s">
        <v>2119</v>
      </c>
    </row>
    <row r="532" spans="1:66" ht="12.95" customHeight="1">
      <c r="B532" s="1401"/>
      <c r="C532" s="1402"/>
      <c r="D532" s="1402"/>
      <c r="E532" s="1402"/>
      <c r="F532" s="1402"/>
      <c r="G532" s="1402"/>
      <c r="H532" s="1403"/>
      <c r="I532" s="42" t="s">
        <v>422</v>
      </c>
      <c r="J532" s="42"/>
      <c r="K532" s="42"/>
      <c r="L532" s="42"/>
      <c r="M532" s="42"/>
      <c r="N532" s="42"/>
      <c r="O532" s="1435" t="s">
        <v>334</v>
      </c>
      <c r="P532" s="1436"/>
      <c r="Q532" s="1436"/>
      <c r="R532" s="1436"/>
      <c r="S532" s="1436"/>
      <c r="T532" s="1436"/>
      <c r="U532" s="1436"/>
      <c r="V532" s="1436"/>
      <c r="W532" s="1436"/>
      <c r="X532" s="1436"/>
      <c r="Y532" s="1436"/>
      <c r="Z532" s="1436"/>
      <c r="AA532" s="1436"/>
      <c r="AC532" s="1390" t="s">
        <v>590</v>
      </c>
      <c r="AD532" s="1391"/>
      <c r="AE532" s="1391"/>
      <c r="AF532" s="1391"/>
      <c r="AG532" s="13" t="s">
        <v>402</v>
      </c>
      <c r="AH532" s="1429"/>
      <c r="AI532" s="1429"/>
      <c r="AJ532" s="1429"/>
      <c r="AK532" s="1430"/>
      <c r="AZ532" s="3"/>
      <c r="BA532" s="3"/>
      <c r="BB532" s="3"/>
      <c r="BC532" s="3"/>
      <c r="BD532" s="3"/>
      <c r="BE532" s="3"/>
      <c r="BF532" s="3"/>
      <c r="BG532" s="3"/>
      <c r="BH532" s="3"/>
      <c r="BI532" s="3"/>
      <c r="BJ532" s="3"/>
      <c r="BK532" s="3"/>
      <c r="BL532" s="3"/>
      <c r="BM532" s="3"/>
      <c r="BN532" s="3" t="s">
        <v>2120</v>
      </c>
    </row>
    <row r="533" spans="1:66" ht="12.95" customHeight="1">
      <c r="B533" s="1401"/>
      <c r="C533" s="1402"/>
      <c r="D533" s="1402"/>
      <c r="E533" s="1402"/>
      <c r="F533" s="1402"/>
      <c r="G533" s="1402"/>
      <c r="H533" s="1403"/>
      <c r="I533" t="s">
        <v>420</v>
      </c>
      <c r="AC533" s="1390" t="s">
        <v>590</v>
      </c>
      <c r="AD533" s="1391"/>
      <c r="AE533" s="1391"/>
      <c r="AF533" s="1391"/>
      <c r="AG533" s="38" t="s">
        <v>402</v>
      </c>
      <c r="AH533" s="1429"/>
      <c r="AI533" s="1429"/>
      <c r="AJ533" s="1429"/>
      <c r="AK533" s="1430"/>
      <c r="AZ533" s="3"/>
      <c r="BA533" s="3"/>
      <c r="BB533" s="3"/>
      <c r="BC533" s="3"/>
      <c r="BD533" s="3"/>
      <c r="BE533" s="3"/>
      <c r="BF533" s="3"/>
      <c r="BG533" s="3"/>
      <c r="BH533" s="3"/>
      <c r="BI533" s="3"/>
      <c r="BJ533" s="3"/>
      <c r="BK533" s="3"/>
      <c r="BL533" s="3"/>
      <c r="BM533" s="3"/>
      <c r="BN533" s="3" t="s">
        <v>2121</v>
      </c>
    </row>
    <row r="534" spans="1:66" ht="12.95"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0" t="s">
        <v>590</v>
      </c>
      <c r="AD534" s="1391"/>
      <c r="AE534" s="1391"/>
      <c r="AF534" s="1391"/>
      <c r="AG534" s="13" t="s">
        <v>402</v>
      </c>
      <c r="AH534" s="1429"/>
      <c r="AI534" s="1429"/>
      <c r="AJ534" s="1429"/>
      <c r="AK534" s="1430"/>
      <c r="AZ534" s="3"/>
      <c r="BA534" s="3"/>
      <c r="BB534" s="3"/>
      <c r="BC534" s="3"/>
      <c r="BD534" s="3"/>
      <c r="BE534" s="3"/>
      <c r="BF534" s="3"/>
      <c r="BG534" s="3"/>
      <c r="BH534" s="3"/>
      <c r="BI534" s="3"/>
      <c r="BJ534" s="3"/>
      <c r="BK534" s="3"/>
      <c r="BL534" s="3"/>
      <c r="BM534" s="3"/>
      <c r="BN534" s="3" t="s">
        <v>2122</v>
      </c>
    </row>
    <row r="535" spans="1:66" ht="12.95" customHeight="1">
      <c r="B535" s="1401"/>
      <c r="C535" s="1402"/>
      <c r="D535" s="1402"/>
      <c r="E535" s="1402"/>
      <c r="F535" s="1402"/>
      <c r="G535" s="1402"/>
      <c r="H535" s="1403"/>
      <c r="I535" s="42" t="s">
        <v>422</v>
      </c>
      <c r="J535" s="42"/>
      <c r="K535" s="42"/>
      <c r="L535" s="42"/>
      <c r="M535" s="42"/>
      <c r="N535" s="42"/>
      <c r="O535" s="1435" t="s">
        <v>334</v>
      </c>
      <c r="P535" s="1436"/>
      <c r="Q535" s="1436"/>
      <c r="R535" s="1436"/>
      <c r="S535" s="1436"/>
      <c r="T535" s="1436"/>
      <c r="U535" s="1436"/>
      <c r="V535" s="1436"/>
      <c r="W535" s="1436"/>
      <c r="X535" s="1436"/>
      <c r="Y535" s="1436"/>
      <c r="Z535" s="1436"/>
      <c r="AA535" s="1436"/>
      <c r="AC535" s="1390" t="s">
        <v>590</v>
      </c>
      <c r="AD535" s="1391"/>
      <c r="AE535" s="1391"/>
      <c r="AF535" s="1391"/>
      <c r="AG535" s="38" t="s">
        <v>402</v>
      </c>
      <c r="AH535" s="1429"/>
      <c r="AI535" s="1429"/>
      <c r="AJ535" s="1429"/>
      <c r="AK535" s="1430"/>
      <c r="AZ535" s="3"/>
      <c r="BA535" s="3"/>
      <c r="BB535" s="3"/>
      <c r="BC535" s="3"/>
      <c r="BD535" s="3"/>
      <c r="BE535" s="3"/>
      <c r="BF535" s="3"/>
      <c r="BG535" s="3"/>
      <c r="BH535" s="3"/>
      <c r="BI535" s="3"/>
      <c r="BJ535" s="3"/>
      <c r="BK535" s="3"/>
      <c r="BL535" s="3"/>
      <c r="BM535" s="3"/>
      <c r="BN535" s="3" t="s">
        <v>2123</v>
      </c>
    </row>
    <row r="536" spans="1:66" ht="12.95" customHeight="1">
      <c r="B536" s="1401"/>
      <c r="C536" s="1402"/>
      <c r="D536" s="1402"/>
      <c r="E536" s="1402"/>
      <c r="F536" s="1402"/>
      <c r="G536" s="1402"/>
      <c r="H536" s="1403"/>
      <c r="I536" t="s">
        <v>420</v>
      </c>
      <c r="AC536" s="1390" t="s">
        <v>590</v>
      </c>
      <c r="AD536" s="1391"/>
      <c r="AE536" s="1391"/>
      <c r="AF536" s="1391"/>
      <c r="AG536" s="13" t="s">
        <v>402</v>
      </c>
      <c r="AH536" s="1429"/>
      <c r="AI536" s="1429"/>
      <c r="AJ536" s="1429"/>
      <c r="AK536" s="1430"/>
      <c r="AZ536" s="3"/>
      <c r="BA536" s="3"/>
      <c r="BB536" s="3"/>
      <c r="BC536" s="3"/>
      <c r="BD536" s="3"/>
      <c r="BE536" s="3"/>
      <c r="BF536" s="3"/>
      <c r="BG536" s="3"/>
      <c r="BH536" s="3"/>
      <c r="BI536" s="3"/>
      <c r="BJ536" s="3"/>
      <c r="BK536" s="3"/>
      <c r="BL536" s="3"/>
      <c r="BM536" s="3"/>
      <c r="BN536" s="3" t="s">
        <v>2124</v>
      </c>
    </row>
    <row r="537" spans="1:66" ht="12.95"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0" t="s">
        <v>590</v>
      </c>
      <c r="AD537" s="1391"/>
      <c r="AE537" s="1391"/>
      <c r="AF537" s="1391"/>
      <c r="AG537" s="38" t="s">
        <v>402</v>
      </c>
      <c r="AH537" s="1429"/>
      <c r="AI537" s="1429"/>
      <c r="AJ537" s="1429"/>
      <c r="AK537" s="1430"/>
      <c r="AZ537" s="3"/>
      <c r="BA537" s="3"/>
      <c r="BB537" s="3"/>
      <c r="BC537" s="3"/>
      <c r="BD537" s="3"/>
      <c r="BE537" s="3"/>
      <c r="BF537" s="3"/>
      <c r="BG537" s="3"/>
      <c r="BH537" s="3"/>
      <c r="BI537" s="3"/>
      <c r="BJ537" s="3"/>
      <c r="BK537" s="3"/>
      <c r="BL537" s="3"/>
      <c r="BM537" s="3"/>
      <c r="BN537" s="3" t="s">
        <v>2125</v>
      </c>
    </row>
    <row r="538" spans="1:66" ht="12.95" customHeight="1">
      <c r="B538" s="1401"/>
      <c r="C538" s="1402"/>
      <c r="D538" s="1402"/>
      <c r="E538" s="1402"/>
      <c r="F538" s="1402"/>
      <c r="G538" s="1402"/>
      <c r="H538" s="1403"/>
      <c r="I538" s="42" t="s">
        <v>561</v>
      </c>
      <c r="J538" s="42"/>
      <c r="K538" s="42"/>
      <c r="L538" s="42"/>
      <c r="M538" s="42"/>
      <c r="N538" s="42"/>
      <c r="O538" s="42"/>
      <c r="P538" s="42"/>
      <c r="Q538" s="42"/>
      <c r="R538" s="42"/>
      <c r="S538" s="42"/>
      <c r="T538" s="42"/>
      <c r="U538" s="42"/>
      <c r="V538" s="42"/>
      <c r="W538" s="42"/>
      <c r="AC538" s="1390" t="str">
        <f>LEFT(TEXT('[1]Data Port'!$G$4,"m/d/yyyy"),1)</f>
        <v>5</v>
      </c>
      <c r="AD538" s="1391"/>
      <c r="AE538" s="1391"/>
      <c r="AF538" s="1391"/>
      <c r="AG538" s="38" t="s">
        <v>402</v>
      </c>
      <c r="AH538" s="1429" t="str">
        <f>RIGHT(TEXT('[1]Data Port'!$G$4,"mm/dd/yyyy"),4)</f>
        <v>2026</v>
      </c>
      <c r="AI538" s="1429"/>
      <c r="AJ538" s="1429"/>
      <c r="AK538" s="1430"/>
      <c r="AZ538" s="3"/>
      <c r="BA538" s="3"/>
      <c r="BB538" s="3"/>
      <c r="BC538" s="3"/>
      <c r="BD538" s="3"/>
      <c r="BE538" s="3"/>
      <c r="BF538" s="3"/>
      <c r="BG538" s="3"/>
      <c r="BH538" s="3"/>
      <c r="BI538" s="3"/>
      <c r="BJ538" s="3"/>
      <c r="BK538" s="3"/>
      <c r="BL538" s="3"/>
      <c r="BM538" s="3"/>
      <c r="BN538" s="3"/>
    </row>
    <row r="539" spans="1:66" ht="12.95" customHeight="1">
      <c r="B539" s="1401"/>
      <c r="C539" s="1402"/>
      <c r="D539" s="1402"/>
      <c r="E539" s="1402"/>
      <c r="F539" s="1402"/>
      <c r="G539" s="1402"/>
      <c r="H539" s="1403"/>
      <c r="I539" t="s">
        <v>562</v>
      </c>
      <c r="AC539" s="1390" t="str">
        <f>LEFT(TEXT('[1]Data Port'!$G$4,"m/d/yyyy"),1)</f>
        <v>5</v>
      </c>
      <c r="AD539" s="1391"/>
      <c r="AE539" s="1391"/>
      <c r="AF539" s="1391"/>
      <c r="AG539" s="13" t="s">
        <v>402</v>
      </c>
      <c r="AH539" s="1429" t="str">
        <f>RIGHT(TEXT('[1]Data Port'!$G$4,"mm/dd/yyyy"),4)</f>
        <v>2026</v>
      </c>
      <c r="AI539" s="1429"/>
      <c r="AJ539" s="1429"/>
      <c r="AK539" s="1430"/>
      <c r="AZ539" s="3"/>
      <c r="BA539" s="3"/>
      <c r="BB539" s="3"/>
      <c r="BC539" s="3"/>
      <c r="BD539" s="3"/>
      <c r="BE539" s="3"/>
      <c r="BF539" s="3"/>
      <c r="BG539" s="3"/>
      <c r="BH539" s="3"/>
      <c r="BI539" s="3"/>
      <c r="BJ539" s="3"/>
      <c r="BK539" s="3"/>
      <c r="BL539" s="3"/>
      <c r="BM539" s="3"/>
      <c r="BN539" s="3"/>
    </row>
    <row r="540" spans="1:66" ht="12.95" customHeight="1">
      <c r="B540" s="1401"/>
      <c r="C540" s="1402"/>
      <c r="D540" s="1402"/>
      <c r="E540" s="1402"/>
      <c r="F540" s="1402"/>
      <c r="G540" s="1402"/>
      <c r="H540" s="1403"/>
      <c r="I540" t="s">
        <v>563</v>
      </c>
      <c r="AC540" s="1390" t="str">
        <f>LEFT(TEXT('[1]Data Port'!$G$5,"m/d/yyyy"),1)</f>
        <v>9</v>
      </c>
      <c r="AD540" s="1391"/>
      <c r="AE540" s="1391"/>
      <c r="AF540" s="1391"/>
      <c r="AG540" s="38" t="s">
        <v>402</v>
      </c>
      <c r="AH540" s="1429" t="str">
        <f>RIGHT(TEXT('[1]Data Port'!$G$5,"mm/dd/yyyy"),4)</f>
        <v>2027</v>
      </c>
      <c r="AI540" s="1429"/>
      <c r="AJ540" s="1429"/>
      <c r="AK540" s="1430"/>
      <c r="AZ540" s="3"/>
      <c r="BA540" s="3"/>
      <c r="BB540" s="3"/>
      <c r="BC540" s="3"/>
      <c r="BD540" s="3"/>
      <c r="BE540" s="3"/>
      <c r="BF540" s="3"/>
      <c r="BG540" s="3"/>
      <c r="BH540" s="3"/>
      <c r="BI540" s="3"/>
      <c r="BJ540" s="3"/>
      <c r="BK540" s="3"/>
      <c r="BL540" s="3"/>
      <c r="BM540" s="3"/>
      <c r="BN540" s="3"/>
    </row>
    <row r="541" spans="1:66" ht="12.95" customHeight="1">
      <c r="B541" s="1401"/>
      <c r="C541" s="1402"/>
      <c r="D541" s="1402"/>
      <c r="E541" s="1402"/>
      <c r="F541" s="1402"/>
      <c r="G541" s="1402"/>
      <c r="H541" s="1403"/>
      <c r="I541" t="s">
        <v>564</v>
      </c>
      <c r="AC541" s="1390" t="str">
        <f>LEFT(TEXT('[1]Data Port'!$G$5,"m/d/yyyy"),1)</f>
        <v>9</v>
      </c>
      <c r="AD541" s="1391"/>
      <c r="AE541" s="1391"/>
      <c r="AF541" s="1391"/>
      <c r="AG541" s="38" t="s">
        <v>402</v>
      </c>
      <c r="AH541" s="1429" t="str">
        <f>RIGHT(TEXT('[1]Data Port'!$G$5,"mm/dd/yyyy"),4)</f>
        <v>2027</v>
      </c>
      <c r="AI541" s="1429"/>
      <c r="AJ541" s="1429"/>
      <c r="AK541" s="1430"/>
      <c r="AZ541" s="3"/>
      <c r="BA541" s="3"/>
      <c r="BB541" s="3"/>
      <c r="BC541" s="3"/>
      <c r="BD541" s="3"/>
      <c r="BE541" s="3"/>
      <c r="BF541" s="3"/>
      <c r="BG541" s="3"/>
      <c r="BH541" s="3"/>
      <c r="BI541" s="3"/>
      <c r="BJ541" s="3"/>
      <c r="BK541" s="3"/>
      <c r="BL541" s="3"/>
      <c r="BM541" s="3"/>
      <c r="BN541" s="3"/>
    </row>
    <row r="542" spans="1:66" ht="12.95" customHeight="1">
      <c r="B542" s="1404"/>
      <c r="C542" s="1405"/>
      <c r="D542" s="1405"/>
      <c r="E542" s="1405"/>
      <c r="F542" s="1405"/>
      <c r="G542" s="1405"/>
      <c r="H542" s="1406"/>
      <c r="I542" s="48" t="s">
        <v>450</v>
      </c>
      <c r="J542" s="48"/>
      <c r="K542" s="48"/>
      <c r="L542" s="48"/>
      <c r="M542" s="48"/>
      <c r="N542" s="48"/>
      <c r="O542" s="48"/>
      <c r="P542" s="48"/>
      <c r="Q542" s="48"/>
      <c r="R542" s="48"/>
      <c r="S542" s="48"/>
      <c r="T542" s="48"/>
      <c r="U542" s="48"/>
      <c r="V542" s="48"/>
      <c r="W542" s="48"/>
      <c r="X542" s="48"/>
      <c r="Y542" s="48"/>
      <c r="Z542" s="48"/>
      <c r="AA542" s="48"/>
      <c r="AB542" s="48"/>
      <c r="AC542" s="1390" t="str">
        <f>LEFT(TEXT('[1]Data Port'!$G$6,"m/d/yyyy"),1)</f>
        <v>6</v>
      </c>
      <c r="AD542" s="1391"/>
      <c r="AE542" s="1391"/>
      <c r="AF542" s="1391"/>
      <c r="AG542" s="38" t="s">
        <v>402</v>
      </c>
      <c r="AH542" s="1429" t="str">
        <f>RIGHT(TEXT('[1]Data Port'!$G$6,"mm/dd/yyyy"),4)</f>
        <v>2028</v>
      </c>
      <c r="AI542" s="1429"/>
      <c r="AJ542" s="1429"/>
      <c r="AK542" s="1430"/>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8" t="s">
        <v>2099</v>
      </c>
      <c r="C551" s="1399"/>
      <c r="D551" s="1399"/>
      <c r="E551" s="1399"/>
      <c r="F551" s="1399"/>
      <c r="G551" s="1399"/>
      <c r="H551" s="1399"/>
      <c r="I551" s="1399"/>
      <c r="J551" s="1399"/>
      <c r="K551" s="1399"/>
      <c r="L551" s="1400"/>
      <c r="M551" s="1398" t="s">
        <v>2100</v>
      </c>
      <c r="N551" s="1399"/>
      <c r="O551" s="1399"/>
      <c r="P551" s="1400"/>
      <c r="Q551" s="1398" t="s">
        <v>2126</v>
      </c>
      <c r="R551" s="1399"/>
      <c r="S551" s="1400"/>
      <c r="T551" s="1398" t="s">
        <v>2127</v>
      </c>
      <c r="U551" s="1399"/>
      <c r="V551" s="1400"/>
      <c r="W551" s="1398" t="s">
        <v>452</v>
      </c>
      <c r="X551" s="1399"/>
      <c r="Y551" s="1400"/>
      <c r="Z551" s="1398" t="s">
        <v>1849</v>
      </c>
      <c r="AA551" s="1399"/>
      <c r="AB551" s="1399"/>
      <c r="AC551" s="1399"/>
      <c r="AD551" s="1400"/>
      <c r="AE551" s="1398" t="s">
        <v>1674</v>
      </c>
      <c r="AF551" s="1399"/>
      <c r="AG551" s="1399"/>
      <c r="AH551" s="1400"/>
      <c r="AI551" s="1398" t="s">
        <v>1675</v>
      </c>
      <c r="AJ551" s="1399"/>
      <c r="AK551" s="1399"/>
      <c r="AL551" s="1400"/>
      <c r="AM551" s="1398" t="s">
        <v>453</v>
      </c>
      <c r="AN551" s="1399"/>
      <c r="AO551" s="1399"/>
      <c r="AP551" s="1399"/>
      <c r="AQ551" s="1399"/>
      <c r="AR551" s="1399"/>
      <c r="AS551" s="1400"/>
      <c r="BB551" s="3"/>
      <c r="BC551" s="3"/>
      <c r="BD551" s="3"/>
      <c r="BE551" s="3"/>
      <c r="BF551" s="3"/>
      <c r="BG551" s="3"/>
      <c r="BH551" s="3" t="s">
        <v>580</v>
      </c>
      <c r="BI551" s="3" t="str">
        <f>AG657</f>
        <v>No</v>
      </c>
    </row>
    <row r="552" spans="1:61"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2.95" customHeight="1">
      <c r="B554" s="51" t="s">
        <v>112</v>
      </c>
      <c r="C554" s="1441" t="str">
        <f>'[1]Data Port'!$G$359</f>
        <v>Keybank National Bank (TE Bonds)</v>
      </c>
      <c r="D554" s="1441"/>
      <c r="E554" s="1441"/>
      <c r="F554" s="1441"/>
      <c r="G554" s="1441"/>
      <c r="H554" s="1441"/>
      <c r="I554" s="1441"/>
      <c r="J554" s="1441"/>
      <c r="K554" s="1441"/>
      <c r="L554" s="1441"/>
      <c r="M554" s="1441" t="str">
        <f>'[1]Data Port'!$G$360</f>
        <v>Loan, Tax-Exempt</v>
      </c>
      <c r="N554" s="1441"/>
      <c r="O554" s="1441"/>
      <c r="P554" s="1441"/>
      <c r="Q554" s="1427"/>
      <c r="R554" s="1427"/>
      <c r="S554" s="1428"/>
      <c r="T554" s="1426"/>
      <c r="U554" s="1427"/>
      <c r="V554" s="1428"/>
      <c r="W554" s="1423">
        <f>'[1]Data Port'!$G$363</f>
        <v>6.2100000000000002E-2</v>
      </c>
      <c r="X554" s="1424"/>
      <c r="Y554" s="1425"/>
      <c r="Z554" s="1432" t="str">
        <f>'[1]Data Port'!$G$364</f>
        <v>Fixed</v>
      </c>
      <c r="AA554" s="1432"/>
      <c r="AB554" s="1432"/>
      <c r="AC554" s="1432"/>
      <c r="AD554" s="1432"/>
      <c r="AE554" s="1414">
        <v>1</v>
      </c>
      <c r="AF554" s="1415"/>
      <c r="AG554" s="1415"/>
      <c r="AH554" s="1416"/>
      <c r="AI554" s="1438"/>
      <c r="AJ554" s="1439"/>
      <c r="AK554" s="1439"/>
      <c r="AL554" s="1440"/>
      <c r="AM554" s="1467">
        <f>ROUND('[1]Data Port'!$G$367,)</f>
        <v>29391578</v>
      </c>
      <c r="AN554" s="1468"/>
      <c r="AO554" s="1468"/>
      <c r="AP554" s="1468"/>
      <c r="AQ554" s="1468"/>
      <c r="AR554" s="1468"/>
      <c r="AS554" s="1469"/>
      <c r="AT554" s="1148"/>
      <c r="AU554" s="1147"/>
      <c r="BB554" s="3"/>
      <c r="BC554" s="3"/>
      <c r="BD554" s="3"/>
      <c r="BE554" s="3"/>
      <c r="BF554" s="3"/>
      <c r="BG554" s="3"/>
      <c r="BH554" s="3"/>
      <c r="BI554" s="3"/>
    </row>
    <row r="555" spans="1:61" ht="12.95" customHeight="1">
      <c r="B555" s="52" t="s">
        <v>113</v>
      </c>
      <c r="C555" s="1442" t="str">
        <f>'[1]Data Port'!$G$370</f>
        <v>Keybank National Bank (TE Recyled bonds)</v>
      </c>
      <c r="D555" s="1442"/>
      <c r="E555" s="1442"/>
      <c r="F555" s="1442"/>
      <c r="G555" s="1442"/>
      <c r="H555" s="1442"/>
      <c r="I555" s="1442"/>
      <c r="J555" s="1442"/>
      <c r="K555" s="1442"/>
      <c r="L555" s="1442"/>
      <c r="M555" s="1441" t="str">
        <f>'[1]Data Port'!$G$371</f>
        <v>Loan, Tax-Exempt, Recycled</v>
      </c>
      <c r="N555" s="1441"/>
      <c r="O555" s="1441"/>
      <c r="P555" s="1441"/>
      <c r="Q555" s="1426"/>
      <c r="R555" s="1427"/>
      <c r="S555" s="1428"/>
      <c r="T555" s="1426"/>
      <c r="U555" s="1427"/>
      <c r="V555" s="1428"/>
      <c r="W555" s="1423">
        <f>'[1]Data Port'!$G$374</f>
        <v>6.2100000000000002E-2</v>
      </c>
      <c r="X555" s="1424"/>
      <c r="Y555" s="1425"/>
      <c r="Z555" s="1432" t="str">
        <f>'[1]Data Port'!$G$375</f>
        <v>Fixed</v>
      </c>
      <c r="AA555" s="1432"/>
      <c r="AB555" s="1432"/>
      <c r="AC555" s="1432"/>
      <c r="AD555" s="1432"/>
      <c r="AE555" s="1414">
        <v>2</v>
      </c>
      <c r="AF555" s="1415"/>
      <c r="AG555" s="1415"/>
      <c r="AH555" s="1416"/>
      <c r="AI555" s="1438"/>
      <c r="AJ555" s="1439"/>
      <c r="AK555" s="1439"/>
      <c r="AL555" s="1440"/>
      <c r="AM555" s="1467">
        <f>ROUND('[1]Data Port'!$G$378,)</f>
        <v>10108828</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5" customHeight="1">
      <c r="B556" s="52" t="s">
        <v>119</v>
      </c>
      <c r="C556" s="1442" t="str">
        <f>'[1]Data Port'!$G$381</f>
        <v>Keybank National Bank (Taxable loan)</v>
      </c>
      <c r="D556" s="1442"/>
      <c r="E556" s="1442"/>
      <c r="F556" s="1442"/>
      <c r="G556" s="1442"/>
      <c r="H556" s="1442"/>
      <c r="I556" s="1442"/>
      <c r="J556" s="1442"/>
      <c r="K556" s="1442"/>
      <c r="L556" s="1442"/>
      <c r="M556" s="1441" t="str">
        <f>'[1]Data Port'!$G$382</f>
        <v>Loan, Taxable</v>
      </c>
      <c r="N556" s="1441"/>
      <c r="O556" s="1441"/>
      <c r="P556" s="1441"/>
      <c r="Q556" s="1426"/>
      <c r="R556" s="1427"/>
      <c r="S556" s="1428"/>
      <c r="T556" s="1426"/>
      <c r="U556" s="1427"/>
      <c r="V556" s="1428"/>
      <c r="W556" s="1423">
        <f>'[1]Data Port'!$G$385</f>
        <v>6.6099999999999992E-2</v>
      </c>
      <c r="X556" s="1424"/>
      <c r="Y556" s="1425"/>
      <c r="Z556" s="1432" t="str">
        <f>'[1]Data Port'!$G$386</f>
        <v>Fixed</v>
      </c>
      <c r="AA556" s="1432"/>
      <c r="AB556" s="1432"/>
      <c r="AC556" s="1432"/>
      <c r="AD556" s="1432"/>
      <c r="AE556" s="1414">
        <v>3</v>
      </c>
      <c r="AF556" s="1415"/>
      <c r="AG556" s="1415"/>
      <c r="AH556" s="1416"/>
      <c r="AI556" s="1438"/>
      <c r="AJ556" s="1439"/>
      <c r="AK556" s="1439"/>
      <c r="AL556" s="1440"/>
      <c r="AM556" s="1467">
        <f>ROUND('[1]Data Port'!$G$389+'[1]Data Port'!$G$1333,)</f>
        <v>35305597</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5" customHeight="1">
      <c r="B557" s="52" t="s">
        <v>580</v>
      </c>
      <c r="C557" s="1442" t="str">
        <f>'[1]Data Port'!$G$392</f>
        <v>Key CDC (Tax Credit Equity)</v>
      </c>
      <c r="D557" s="1442"/>
      <c r="E557" s="1442"/>
      <c r="F557" s="1442"/>
      <c r="G557" s="1442"/>
      <c r="H557" s="1442"/>
      <c r="I557" s="1442"/>
      <c r="J557" s="1442"/>
      <c r="K557" s="1442"/>
      <c r="L557" s="1442"/>
      <c r="M557" s="1441" t="str">
        <f>'[1]Data Port'!$G$393</f>
        <v>Equity, LIHTC Investor</v>
      </c>
      <c r="N557" s="1441"/>
      <c r="O557" s="1441"/>
      <c r="P557" s="1441"/>
      <c r="Q557" s="1426"/>
      <c r="R557" s="1427"/>
      <c r="S557" s="1428"/>
      <c r="T557" s="1426"/>
      <c r="U557" s="1427"/>
      <c r="V557" s="1428"/>
      <c r="W557" s="1423">
        <f>'[1]Data Port'!$G$396</f>
        <v>0</v>
      </c>
      <c r="X557" s="1424"/>
      <c r="Y557" s="1425"/>
      <c r="Z557" s="1432" t="str">
        <f>'[1]Data Port'!$G$397</f>
        <v>Fixed</v>
      </c>
      <c r="AA557" s="1432"/>
      <c r="AB557" s="1432"/>
      <c r="AC557" s="1432"/>
      <c r="AD557" s="1432"/>
      <c r="AE557" s="1414"/>
      <c r="AF557" s="1415"/>
      <c r="AG557" s="1415"/>
      <c r="AH557" s="1416"/>
      <c r="AI557" s="1438"/>
      <c r="AJ557" s="1439"/>
      <c r="AK557" s="1439"/>
      <c r="AL557" s="1440"/>
      <c r="AM557" s="1467">
        <f>ROUND('[1]Data Port'!$G$400,)</f>
        <v>22247471</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5" customHeight="1">
      <c r="B558" s="52" t="s">
        <v>762</v>
      </c>
      <c r="C558" s="1442" t="str">
        <f>'[1]Data Port'!$G$405</f>
        <v>Deferred Fees until Conversion (Developer fee reserves, etc)</v>
      </c>
      <c r="D558" s="1442"/>
      <c r="E558" s="1442"/>
      <c r="F558" s="1442"/>
      <c r="G558" s="1442"/>
      <c r="H558" s="1442"/>
      <c r="I558" s="1442"/>
      <c r="J558" s="1442"/>
      <c r="K558" s="1442"/>
      <c r="L558" s="1442"/>
      <c r="M558" s="1441" t="str">
        <f>'[1]Data Port'!$G$406</f>
        <v>Cost Deferral</v>
      </c>
      <c r="N558" s="1441"/>
      <c r="O558" s="1441"/>
      <c r="P558" s="1441"/>
      <c r="Q558" s="1426"/>
      <c r="R558" s="1427"/>
      <c r="S558" s="1428"/>
      <c r="T558" s="1426"/>
      <c r="U558" s="1427"/>
      <c r="V558" s="1428"/>
      <c r="W558" s="1423">
        <f>'[1]Data Port'!$G$409</f>
        <v>0</v>
      </c>
      <c r="X558" s="1424"/>
      <c r="Y558" s="1425"/>
      <c r="Z558" s="1432" t="str">
        <f>'[1]Data Port'!$G$410</f>
        <v>Fixed</v>
      </c>
      <c r="AA558" s="1432"/>
      <c r="AB558" s="1432"/>
      <c r="AC558" s="1432"/>
      <c r="AD558" s="1432"/>
      <c r="AE558" s="1414"/>
      <c r="AF558" s="1415"/>
      <c r="AG558" s="1415"/>
      <c r="AH558" s="1416"/>
      <c r="AI558" s="1438"/>
      <c r="AJ558" s="1439"/>
      <c r="AK558" s="1439"/>
      <c r="AL558" s="1440"/>
      <c r="AM558" s="1467">
        <f>ROUND('[1]Data Port'!$G$413,)</f>
        <v>5407979</v>
      </c>
      <c r="AN558" s="1468"/>
      <c r="AO558" s="1468"/>
      <c r="AP558" s="1468"/>
      <c r="AQ558" s="1468"/>
      <c r="AR558" s="1468"/>
      <c r="AS558" s="1469"/>
      <c r="AT558" s="1148" t="str">
        <f t="shared" ref="AT558:AT565" si="0">IF(AND(NOT(C557=""),C558="",NOT(C559="")),"!","")</f>
        <v/>
      </c>
      <c r="AU558" s="1147"/>
      <c r="BB558" s="3"/>
      <c r="BC558" s="3"/>
      <c r="BD558" s="3"/>
      <c r="BE558" s="3"/>
      <c r="BF558" s="3"/>
      <c r="BG558" s="3"/>
      <c r="BH558" s="3" t="s">
        <v>762</v>
      </c>
      <c r="BI558" s="3" t="str">
        <f>N665</f>
        <v>No</v>
      </c>
    </row>
    <row r="559" spans="1:61" ht="12.95" customHeight="1">
      <c r="B559" s="52" t="s">
        <v>583</v>
      </c>
      <c r="C559" s="1442" t="str">
        <f>'[1]Data Port'!$G$416</f>
        <v>Deferred Developer Fee</v>
      </c>
      <c r="D559" s="1442"/>
      <c r="E559" s="1442"/>
      <c r="F559" s="1442"/>
      <c r="G559" s="1442"/>
      <c r="H559" s="1442"/>
      <c r="I559" s="1442"/>
      <c r="J559" s="1442"/>
      <c r="K559" s="1442"/>
      <c r="L559" s="1442"/>
      <c r="M559" s="1441" t="str">
        <f>'[1]Data Port'!$G$417</f>
        <v>Developer Fee, Deferral</v>
      </c>
      <c r="N559" s="1441"/>
      <c r="O559" s="1441"/>
      <c r="P559" s="1441"/>
      <c r="Q559" s="1426"/>
      <c r="R559" s="1427"/>
      <c r="S559" s="1428"/>
      <c r="T559" s="1426"/>
      <c r="U559" s="1427"/>
      <c r="V559" s="1428"/>
      <c r="W559" s="1423">
        <f>'[1]Data Port'!$G$420</f>
        <v>0</v>
      </c>
      <c r="X559" s="1424"/>
      <c r="Y559" s="1425"/>
      <c r="Z559" s="1432" t="str">
        <f>'[1]Data Port'!$G$421</f>
        <v>Fixed</v>
      </c>
      <c r="AA559" s="1432"/>
      <c r="AB559" s="1432"/>
      <c r="AC559" s="1432"/>
      <c r="AD559" s="1432"/>
      <c r="AE559" s="1414"/>
      <c r="AF559" s="1415"/>
      <c r="AG559" s="1415"/>
      <c r="AH559" s="1416"/>
      <c r="AI559" s="1438"/>
      <c r="AJ559" s="1439"/>
      <c r="AK559" s="1439"/>
      <c r="AL559" s="1440"/>
      <c r="AM559" s="1467">
        <f>ROUND('[1]Data Port'!$G$424,)</f>
        <v>10360285</v>
      </c>
      <c r="AN559" s="1468"/>
      <c r="AO559" s="1468"/>
      <c r="AP559" s="1468"/>
      <c r="AQ559" s="1468"/>
      <c r="AR559" s="1468"/>
      <c r="AS559" s="1469"/>
      <c r="AT559" s="1148" t="str">
        <f t="shared" si="0"/>
        <v/>
      </c>
      <c r="AU559" s="1147"/>
      <c r="BB559" s="3"/>
      <c r="BC559" s="3"/>
      <c r="BD559" s="3"/>
      <c r="BE559" s="3"/>
      <c r="BF559" s="3"/>
      <c r="BG559" s="3"/>
      <c r="BH559" s="3" t="s">
        <v>583</v>
      </c>
      <c r="BI559" s="3" t="str">
        <f>AG665</f>
        <v>No</v>
      </c>
    </row>
    <row r="560" spans="1:61" ht="12.95" customHeight="1">
      <c r="B560" s="52" t="s">
        <v>454</v>
      </c>
      <c r="C560" s="1442">
        <f>IF(AM560=0,0,'[1]Data Port'!$G$427)</f>
        <v>0</v>
      </c>
      <c r="D560" s="1442"/>
      <c r="E560" s="1442"/>
      <c r="F560" s="1442"/>
      <c r="G560" s="1442"/>
      <c r="H560" s="1442"/>
      <c r="I560" s="1442"/>
      <c r="J560" s="1442"/>
      <c r="K560" s="1442"/>
      <c r="L560" s="1442"/>
      <c r="M560" s="1441" t="str">
        <f>IF(AM560=0,"(select)",'[1]Data Port'!$G$428)</f>
        <v>(select)</v>
      </c>
      <c r="N560" s="1441"/>
      <c r="O560" s="1441"/>
      <c r="P560" s="1441"/>
      <c r="Q560" s="1426">
        <f>IF(AM560=0,0,'[1]Data Port'!$G$429)</f>
        <v>0</v>
      </c>
      <c r="R560" s="1427"/>
      <c r="S560" s="1428"/>
      <c r="T560" s="1426"/>
      <c r="U560" s="1427"/>
      <c r="V560" s="1428"/>
      <c r="W560" s="1423">
        <f>IF(AM560=0,0,'[1]Data Port'!$G$431)</f>
        <v>0</v>
      </c>
      <c r="X560" s="1424"/>
      <c r="Y560" s="1425"/>
      <c r="Z560" s="1432" t="str">
        <f>'[1]Data Port'!$G$432</f>
        <v>Fixed</v>
      </c>
      <c r="AA560" s="1432"/>
      <c r="AB560" s="1432"/>
      <c r="AC560" s="1432"/>
      <c r="AD560" s="1432"/>
      <c r="AE560" s="1414"/>
      <c r="AF560" s="1415"/>
      <c r="AG560" s="1415"/>
      <c r="AH560" s="1416"/>
      <c r="AI560" s="1438"/>
      <c r="AJ560" s="1439"/>
      <c r="AK560" s="1439"/>
      <c r="AL560" s="1440"/>
      <c r="AM560" s="1467">
        <f>ROUND('[1]Data Port'!$G$435,)</f>
        <v>0</v>
      </c>
      <c r="AN560" s="1468"/>
      <c r="AO560" s="1468"/>
      <c r="AP560" s="1468"/>
      <c r="AQ560" s="1468"/>
      <c r="AR560" s="1468"/>
      <c r="AS560" s="1469"/>
      <c r="AT560" s="1148" t="str">
        <f t="shared" si="0"/>
        <v/>
      </c>
      <c r="AU560" s="1147"/>
      <c r="BB560" s="3"/>
      <c r="BC560" s="3"/>
      <c r="BD560" s="3"/>
      <c r="BE560" s="3"/>
      <c r="BF560" s="3"/>
      <c r="BG560" s="3"/>
      <c r="BH560" s="3"/>
      <c r="BI560" s="3"/>
    </row>
    <row r="561" spans="1:61" ht="12.95" customHeight="1">
      <c r="B561" s="52" t="s">
        <v>455</v>
      </c>
      <c r="C561" s="1442">
        <f>IF(AM561=0,0,'[1]Data Port'!$G$438)</f>
        <v>0</v>
      </c>
      <c r="D561" s="1442"/>
      <c r="E561" s="1442"/>
      <c r="F561" s="1442"/>
      <c r="G561" s="1442"/>
      <c r="H561" s="1442"/>
      <c r="I561" s="1442"/>
      <c r="J561" s="1442"/>
      <c r="K561" s="1442"/>
      <c r="L561" s="1442"/>
      <c r="M561" s="1441" t="str">
        <f>IF(AM561=0,"(select)",'[1]Data Port'!$G$439)</f>
        <v>(select)</v>
      </c>
      <c r="N561" s="1441"/>
      <c r="O561" s="1441"/>
      <c r="P561" s="1441"/>
      <c r="Q561" s="1426">
        <f>IF(AM561=0,0,'[1]Data Port'!$G$440)</f>
        <v>0</v>
      </c>
      <c r="R561" s="1427"/>
      <c r="S561" s="1428"/>
      <c r="T561" s="1426"/>
      <c r="U561" s="1427"/>
      <c r="V561" s="1428"/>
      <c r="W561" s="1423">
        <f>IF(AM561=0,0,'[1]Data Port'!$G$442)</f>
        <v>0</v>
      </c>
      <c r="X561" s="1424"/>
      <c r="Y561" s="1425"/>
      <c r="Z561" s="1432" t="str">
        <f>'[1]Data Port'!$G$443</f>
        <v>Fixed</v>
      </c>
      <c r="AA561" s="1432"/>
      <c r="AB561" s="1432"/>
      <c r="AC561" s="1432"/>
      <c r="AD561" s="1432"/>
      <c r="AE561" s="1414"/>
      <c r="AF561" s="1415"/>
      <c r="AG561" s="1415"/>
      <c r="AH561" s="1416"/>
      <c r="AI561" s="1438"/>
      <c r="AJ561" s="1439"/>
      <c r="AK561" s="1439"/>
      <c r="AL561" s="1440"/>
      <c r="AM561" s="1467">
        <f>ROUND('[1]Data Port'!$G$446,)</f>
        <v>0</v>
      </c>
      <c r="AN561" s="1468"/>
      <c r="AO561" s="1468"/>
      <c r="AP561" s="1468"/>
      <c r="AQ561" s="1468"/>
      <c r="AR561" s="1468"/>
      <c r="AS561" s="1469"/>
      <c r="AT561" s="1148" t="str">
        <f t="shared" si="0"/>
        <v/>
      </c>
      <c r="AU561" s="1147"/>
      <c r="BB561" s="3"/>
      <c r="BC561" s="3"/>
      <c r="BD561" s="3"/>
      <c r="BE561" s="3"/>
      <c r="BF561" s="3"/>
      <c r="BG561" s="3"/>
      <c r="BH561" s="3"/>
      <c r="BI561" s="3"/>
    </row>
    <row r="562" spans="1:61" ht="12.95" customHeight="1">
      <c r="B562" s="52" t="s">
        <v>460</v>
      </c>
      <c r="C562" s="1442">
        <f>'[1]Data Port'!$G$449</f>
        <v>0</v>
      </c>
      <c r="D562" s="1442"/>
      <c r="E562" s="1442"/>
      <c r="F562" s="1442"/>
      <c r="G562" s="1442"/>
      <c r="H562" s="1442"/>
      <c r="I562" s="1442"/>
      <c r="J562" s="1442"/>
      <c r="K562" s="1442"/>
      <c r="L562" s="1442"/>
      <c r="M562" s="1441">
        <f>'[1]Data Port'!$G$450</f>
        <v>0</v>
      </c>
      <c r="N562" s="1441"/>
      <c r="O562" s="1441"/>
      <c r="P562" s="1441"/>
      <c r="Q562" s="1426"/>
      <c r="R562" s="1427"/>
      <c r="S562" s="1428"/>
      <c r="T562" s="1426"/>
      <c r="U562" s="1427"/>
      <c r="V562" s="1428"/>
      <c r="W562" s="1423">
        <f>'[1]Data Port'!$G$453</f>
        <v>0</v>
      </c>
      <c r="X562" s="1424"/>
      <c r="Y562" s="1425"/>
      <c r="Z562" s="1432" t="str">
        <f>'[1]Data Port'!$G$454</f>
        <v>Fixed</v>
      </c>
      <c r="AA562" s="1432"/>
      <c r="AB562" s="1432"/>
      <c r="AC562" s="1432"/>
      <c r="AD562" s="1432"/>
      <c r="AE562" s="1414"/>
      <c r="AF562" s="1415"/>
      <c r="AG562" s="1415"/>
      <c r="AH562" s="1416"/>
      <c r="AI562" s="1438"/>
      <c r="AJ562" s="1439"/>
      <c r="AK562" s="1439"/>
      <c r="AL562" s="1440"/>
      <c r="AM562" s="1467">
        <f>'[1]Data Port'!$G$457</f>
        <v>0</v>
      </c>
      <c r="AN562" s="1468"/>
      <c r="AO562" s="1468"/>
      <c r="AP562" s="1468"/>
      <c r="AQ562" s="1468"/>
      <c r="AR562" s="1468"/>
      <c r="AS562" s="1469"/>
      <c r="AT562" s="1148" t="str">
        <f t="shared" si="0"/>
        <v/>
      </c>
      <c r="AU562" s="1147"/>
      <c r="BB562" s="3"/>
      <c r="BC562" s="3"/>
      <c r="BD562" s="3"/>
      <c r="BE562" s="3"/>
      <c r="BF562" s="3"/>
      <c r="BG562" s="3"/>
      <c r="BH562" s="3"/>
      <c r="BI562" s="3"/>
    </row>
    <row r="563" spans="1:61" ht="12.95" customHeight="1">
      <c r="B563" s="52" t="s">
        <v>645</v>
      </c>
      <c r="C563" s="1442">
        <f>'[1]Data Port'!$G$460</f>
        <v>0</v>
      </c>
      <c r="D563" s="1442"/>
      <c r="E563" s="1442"/>
      <c r="F563" s="1442"/>
      <c r="G563" s="1442"/>
      <c r="H563" s="1442"/>
      <c r="I563" s="1442"/>
      <c r="J563" s="1442"/>
      <c r="K563" s="1442"/>
      <c r="L563" s="1442"/>
      <c r="M563" s="1441">
        <f>'[1]Data Port'!$G$461</f>
        <v>0</v>
      </c>
      <c r="N563" s="1441"/>
      <c r="O563" s="1441"/>
      <c r="P563" s="1441"/>
      <c r="Q563" s="1426"/>
      <c r="R563" s="1427"/>
      <c r="S563" s="1428"/>
      <c r="T563" s="1426"/>
      <c r="U563" s="1427"/>
      <c r="V563" s="1428"/>
      <c r="W563" s="1423">
        <f>'[1]Data Port'!$G$464</f>
        <v>0</v>
      </c>
      <c r="X563" s="1424"/>
      <c r="Y563" s="1425"/>
      <c r="Z563" s="1432" t="str">
        <f>'[1]Data Port'!$G$465</f>
        <v>Fixed</v>
      </c>
      <c r="AA563" s="1432"/>
      <c r="AB563" s="1432"/>
      <c r="AC563" s="1432"/>
      <c r="AD563" s="1432"/>
      <c r="AE563" s="1414"/>
      <c r="AF563" s="1415"/>
      <c r="AG563" s="1415"/>
      <c r="AH563" s="1416"/>
      <c r="AI563" s="1438"/>
      <c r="AJ563" s="1439"/>
      <c r="AK563" s="1439"/>
      <c r="AL563" s="1440"/>
      <c r="AM563" s="1467">
        <f>'[1]Data Port'!$G$468</f>
        <v>0</v>
      </c>
      <c r="AN563" s="1468"/>
      <c r="AO563" s="1468"/>
      <c r="AP563" s="1468"/>
      <c r="AQ563" s="1468"/>
      <c r="AR563" s="1468"/>
      <c r="AS563" s="1469"/>
      <c r="AT563" s="1148" t="str">
        <f t="shared" si="0"/>
        <v/>
      </c>
      <c r="BB563" s="3"/>
      <c r="BC563" s="3"/>
      <c r="BD563" s="3"/>
      <c r="BE563" s="3"/>
      <c r="BF563" s="3"/>
      <c r="BG563" s="3"/>
      <c r="BH563" s="3"/>
      <c r="BI563" s="3"/>
    </row>
    <row r="564" spans="1:61" ht="12.95" customHeight="1">
      <c r="B564" s="52" t="s">
        <v>362</v>
      </c>
      <c r="C564" s="1442">
        <f>'[1]Data Port'!$G$471</f>
        <v>0</v>
      </c>
      <c r="D564" s="1442"/>
      <c r="E564" s="1442"/>
      <c r="F564" s="1442"/>
      <c r="G564" s="1442"/>
      <c r="H564" s="1442"/>
      <c r="I564" s="1442"/>
      <c r="J564" s="1442"/>
      <c r="K564" s="1442"/>
      <c r="L564" s="1442"/>
      <c r="M564" s="1441">
        <f>'[1]Data Port'!$G$472</f>
        <v>0</v>
      </c>
      <c r="N564" s="1441"/>
      <c r="O564" s="1441"/>
      <c r="P564" s="1441"/>
      <c r="Q564" s="1426"/>
      <c r="R564" s="1427"/>
      <c r="S564" s="1428"/>
      <c r="T564" s="1426"/>
      <c r="U564" s="1427"/>
      <c r="V564" s="1428"/>
      <c r="W564" s="1423">
        <f>'[1]Data Port'!$G$475</f>
        <v>0</v>
      </c>
      <c r="X564" s="1424"/>
      <c r="Y564" s="1425"/>
      <c r="Z564" s="1432" t="str">
        <f>'[1]Data Port'!$G$476</f>
        <v>Fixed</v>
      </c>
      <c r="AA564" s="1432"/>
      <c r="AB564" s="1432"/>
      <c r="AC564" s="1432"/>
      <c r="AD564" s="1432"/>
      <c r="AE564" s="1414"/>
      <c r="AF564" s="1415"/>
      <c r="AG564" s="1415"/>
      <c r="AH564" s="1416"/>
      <c r="AI564" s="1438"/>
      <c r="AJ564" s="1439"/>
      <c r="AK564" s="1439"/>
      <c r="AL564" s="1440"/>
      <c r="AM564" s="1467">
        <f>'[1]Data Port'!$G$479</f>
        <v>0</v>
      </c>
      <c r="AN564" s="1468"/>
      <c r="AO564" s="1468"/>
      <c r="AP564" s="1468"/>
      <c r="AQ564" s="1468"/>
      <c r="AR564" s="1468"/>
      <c r="AS564" s="1469"/>
      <c r="AT564" s="1148" t="str">
        <f t="shared" si="0"/>
        <v/>
      </c>
      <c r="BB564" s="3"/>
      <c r="BC564" s="3"/>
      <c r="BD564" s="3"/>
      <c r="BE564" s="3"/>
      <c r="BF564" s="3"/>
      <c r="BG564" s="3"/>
      <c r="BH564" s="3"/>
      <c r="BI564" s="3"/>
    </row>
    <row r="565" spans="1:61" ht="12.95" customHeight="1">
      <c r="B565" s="52" t="s">
        <v>363</v>
      </c>
      <c r="C565" s="1442">
        <f>'[1]Data Port'!$G$482</f>
        <v>0</v>
      </c>
      <c r="D565" s="1442"/>
      <c r="E565" s="1442"/>
      <c r="F565" s="1442"/>
      <c r="G565" s="1442"/>
      <c r="H565" s="1442"/>
      <c r="I565" s="1442"/>
      <c r="J565" s="1442"/>
      <c r="K565" s="1442"/>
      <c r="L565" s="1442"/>
      <c r="M565" s="1441">
        <f>'[1]Data Port'!$G$483</f>
        <v>0</v>
      </c>
      <c r="N565" s="1441"/>
      <c r="O565" s="1441"/>
      <c r="P565" s="1441"/>
      <c r="Q565" s="1426"/>
      <c r="R565" s="1427"/>
      <c r="S565" s="1428"/>
      <c r="T565" s="1426"/>
      <c r="U565" s="1427"/>
      <c r="V565" s="1428"/>
      <c r="W565" s="1423">
        <f>'[1]Data Port'!$G$486</f>
        <v>0</v>
      </c>
      <c r="X565" s="1424"/>
      <c r="Y565" s="1425"/>
      <c r="Z565" s="1432" t="str">
        <f>'[1]Data Port'!$G$487</f>
        <v>Fixed</v>
      </c>
      <c r="AA565" s="1432"/>
      <c r="AB565" s="1432"/>
      <c r="AC565" s="1432"/>
      <c r="AD565" s="1432"/>
      <c r="AE565" s="1414"/>
      <c r="AF565" s="1415"/>
      <c r="AG565" s="1415"/>
      <c r="AH565" s="1416"/>
      <c r="AI565" s="1438"/>
      <c r="AJ565" s="1439"/>
      <c r="AK565" s="1439"/>
      <c r="AL565" s="1440"/>
      <c r="AM565" s="1467">
        <f>'[1]Data Port'!$G$490</f>
        <v>0</v>
      </c>
      <c r="AN565" s="1468"/>
      <c r="AO565" s="1468"/>
      <c r="AP565" s="1468"/>
      <c r="AQ565" s="1468"/>
      <c r="AR565" s="1468"/>
      <c r="AS565" s="1469"/>
      <c r="AT565" s="1148" t="str">
        <f t="shared" si="0"/>
        <v/>
      </c>
      <c r="BB565" s="3"/>
      <c r="BC565" s="3"/>
      <c r="BD565" s="3"/>
      <c r="BE565" s="3"/>
      <c r="BF565" s="3"/>
      <c r="BG565" s="3"/>
      <c r="BH565" s="3"/>
      <c r="BI565" s="3"/>
    </row>
    <row r="566" spans="1:61" ht="12.9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112821738</v>
      </c>
      <c r="AN566" s="1475"/>
      <c r="AO566" s="1475"/>
      <c r="AP566" s="1475"/>
      <c r="AQ566" s="1475"/>
      <c r="AR566" s="1475"/>
      <c r="AS566" s="1476"/>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85" t="str">
        <f>C554</f>
        <v>Keybank National Bank (TE Bonds)</v>
      </c>
      <c r="H568" s="1485"/>
      <c r="I568" s="1485"/>
      <c r="J568" s="1485"/>
      <c r="K568" s="1485"/>
      <c r="L568" s="1485"/>
      <c r="M568" s="1485"/>
      <c r="N568" s="1485"/>
      <c r="O568" s="1485"/>
      <c r="P568" s="1485"/>
      <c r="Q568" s="1485"/>
      <c r="R568" s="1485"/>
      <c r="S568" s="8"/>
      <c r="T568" s="55" t="s">
        <v>113</v>
      </c>
      <c r="U568" t="s">
        <v>462</v>
      </c>
      <c r="Z568" s="1485" t="str">
        <f>C555</f>
        <v>Keybank National Bank (TE Recyled bonds)</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9" t="str">
        <f>'[1]Data Port'!$G$493</f>
        <v>1675 Broadway</v>
      </c>
      <c r="H569" s="1409"/>
      <c r="I569" s="1409"/>
      <c r="J569" s="1409"/>
      <c r="K569" s="1409"/>
      <c r="L569" s="1409"/>
      <c r="M569" s="1409"/>
      <c r="N569" s="1409"/>
      <c r="O569" s="1409"/>
      <c r="P569" s="1409"/>
      <c r="Q569" s="1409"/>
      <c r="R569" s="1409"/>
      <c r="S569" s="8"/>
      <c r="T569" s="22"/>
      <c r="U569" t="s">
        <v>85</v>
      </c>
      <c r="Z569" s="1409" t="str">
        <f>'[1]Data Port'!$G$502</f>
        <v>1675 Broadway</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2.95" customHeight="1">
      <c r="A570" s="22"/>
      <c r="B570" t="s">
        <v>579</v>
      </c>
      <c r="G570" s="1409" t="str">
        <f>'[1]Data Port'!$G$494</f>
        <v>Denver, CO 80202</v>
      </c>
      <c r="H570" s="1409"/>
      <c r="I570" s="1409"/>
      <c r="J570" s="1409"/>
      <c r="K570" s="1409"/>
      <c r="L570" s="1409"/>
      <c r="M570" s="1409"/>
      <c r="N570" s="1409"/>
      <c r="O570" s="1409"/>
      <c r="P570" s="1409"/>
      <c r="Q570" s="1409"/>
      <c r="R570" s="1409"/>
      <c r="T570" s="22"/>
      <c r="U570" t="s">
        <v>579</v>
      </c>
      <c r="Z570" s="1372" t="str">
        <f>'[1]Data Port'!$G$503</f>
        <v>Denver, CO 80202</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5" customHeight="1">
      <c r="A571" s="22"/>
      <c r="B571" t="s">
        <v>17</v>
      </c>
      <c r="G571" s="1409" t="str">
        <f>'[1]Data Port'!$G$495</f>
        <v>Eileen Tran</v>
      </c>
      <c r="H571" s="1409"/>
      <c r="I571" s="1409"/>
      <c r="J571" s="1409"/>
      <c r="K571" s="1409"/>
      <c r="L571" s="1409"/>
      <c r="M571" s="1409"/>
      <c r="N571" s="1409"/>
      <c r="O571" s="1409"/>
      <c r="P571" s="1409"/>
      <c r="Q571" s="1409"/>
      <c r="R571" s="1409"/>
      <c r="S571" s="8"/>
      <c r="T571" s="22"/>
      <c r="U571" t="s">
        <v>17</v>
      </c>
      <c r="Z571" s="1372" t="str">
        <f>'[1]Data Port'!$G$504</f>
        <v>Eileen Tran</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5" customHeight="1">
      <c r="A572" s="22"/>
      <c r="B572" t="s">
        <v>316</v>
      </c>
      <c r="G572" s="1489" t="str">
        <f>'[1]Data Port'!$G$496</f>
        <v>720.904.4091</v>
      </c>
      <c r="H572" s="1489"/>
      <c r="I572" s="1489"/>
      <c r="J572" s="1489"/>
      <c r="K572" s="1489"/>
      <c r="L572" s="1489"/>
      <c r="O572" s="33" t="s">
        <v>206</v>
      </c>
      <c r="P572" s="1473"/>
      <c r="Q572" s="1473"/>
      <c r="R572" s="1473"/>
      <c r="S572" s="10"/>
      <c r="T572" s="22"/>
      <c r="U572" t="s">
        <v>316</v>
      </c>
      <c r="Z572" s="1489" t="str">
        <f>'[1]Data Port'!$G$505</f>
        <v>720.904.4091</v>
      </c>
      <c r="AA572" s="1489"/>
      <c r="AB572" s="1489"/>
      <c r="AC572" s="1489"/>
      <c r="AD572" s="1489"/>
      <c r="AE572" s="1489"/>
      <c r="AH572" s="33" t="s">
        <v>206</v>
      </c>
      <c r="AI572" s="1473"/>
      <c r="AJ572" s="1473"/>
      <c r="AK572" s="1473"/>
      <c r="BB572" s="3"/>
      <c r="BC572" s="3"/>
      <c r="BD572" s="3"/>
      <c r="BE572" s="3"/>
      <c r="BF572" s="3"/>
      <c r="BG572" s="3"/>
      <c r="BH572" s="3"/>
      <c r="BI572" s="3"/>
    </row>
    <row r="573" spans="1:61" ht="12.95" customHeight="1">
      <c r="A573" s="22"/>
      <c r="B573" t="s">
        <v>18</v>
      </c>
      <c r="H573" s="1409" t="str">
        <f>'[1]Data Port'!$G$497</f>
        <v>Tax exempt bonds</v>
      </c>
      <c r="I573" s="1409"/>
      <c r="J573" s="1409"/>
      <c r="K573" s="1409"/>
      <c r="L573" s="1409"/>
      <c r="M573" s="1409"/>
      <c r="N573" s="1409"/>
      <c r="O573" s="1409"/>
      <c r="P573" s="1409"/>
      <c r="Q573" s="1409"/>
      <c r="R573" s="1409"/>
      <c r="S573" s="8"/>
      <c r="T573" s="22"/>
      <c r="U573" t="s">
        <v>18</v>
      </c>
      <c r="AA573" s="1409" t="str">
        <f>'[1]Data Port'!$G$506</f>
        <v>Tax exempt bonds - Recycled</v>
      </c>
      <c r="AB573" s="1409"/>
      <c r="AC573" s="1409"/>
      <c r="AD573" s="1409"/>
      <c r="AE573" s="1409"/>
      <c r="AF573" s="1409"/>
      <c r="AG573" s="1409"/>
      <c r="AH573" s="1409"/>
      <c r="AI573" s="1409"/>
      <c r="AJ573" s="1409"/>
      <c r="AK573" s="1409"/>
      <c r="BB573" s="3"/>
      <c r="BC573" s="3"/>
      <c r="BD573" s="3"/>
      <c r="BE573" s="3"/>
      <c r="BF573" s="3"/>
      <c r="BG573" s="3"/>
      <c r="BH573" s="3"/>
      <c r="BI573" s="3"/>
    </row>
    <row r="574" spans="1:61" ht="12.95" customHeight="1">
      <c r="A574" s="22"/>
      <c r="B574" s="320" t="s">
        <v>1183</v>
      </c>
      <c r="H574" s="8"/>
      <c r="I574" s="8"/>
      <c r="J574" s="8"/>
      <c r="K574" s="8"/>
      <c r="L574" s="8"/>
      <c r="M574" s="1603" t="str">
        <f>'[1]Data Port'!$G$498</f>
        <v>N/A</v>
      </c>
      <c r="N574" s="1603"/>
      <c r="O574" s="1603"/>
      <c r="P574" s="1603"/>
      <c r="Q574" s="1603"/>
      <c r="R574" s="1603"/>
      <c r="S574" s="8"/>
      <c r="T574" s="22"/>
      <c r="U574" s="320" t="s">
        <v>1183</v>
      </c>
      <c r="AA574" s="8"/>
      <c r="AB574" s="8"/>
      <c r="AC574" s="8"/>
      <c r="AD574" s="8"/>
      <c r="AE574" s="8"/>
      <c r="AF574" s="1603" t="str">
        <f>'[1]Data Port'!$G$507</f>
        <v>N/A</v>
      </c>
      <c r="AG574" s="1603"/>
      <c r="AH574" s="1603"/>
      <c r="AI574" s="1603"/>
      <c r="AJ574" s="1603"/>
      <c r="AK574" s="1603"/>
      <c r="BB574" s="3"/>
      <c r="BC574" s="3"/>
      <c r="BD574" s="3"/>
      <c r="BE574" s="3"/>
      <c r="BF574" s="3"/>
      <c r="BG574" s="3"/>
      <c r="BH574" s="3"/>
      <c r="BI574" s="3"/>
    </row>
    <row r="575" spans="1:61" ht="12.95" customHeight="1">
      <c r="A575" s="22"/>
      <c r="B575" t="s">
        <v>20</v>
      </c>
      <c r="N575" s="1417" t="str">
        <f>'[1]Data Port'!$G$499</f>
        <v>Yes</v>
      </c>
      <c r="O575" s="1417"/>
      <c r="T575" s="22"/>
      <c r="U575" t="s">
        <v>20</v>
      </c>
      <c r="AG575" s="1417" t="str">
        <f>'[1]Data Port'!$G$508</f>
        <v>Yes</v>
      </c>
      <c r="AH575" s="141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5" t="str">
        <f>C556</f>
        <v>Keybank National Bank (Taxable loan)</v>
      </c>
      <c r="H577" s="1485"/>
      <c r="I577" s="1485"/>
      <c r="J577" s="1485"/>
      <c r="K577" s="1485"/>
      <c r="L577" s="1485"/>
      <c r="M577" s="1485"/>
      <c r="N577" s="1485"/>
      <c r="O577" s="1485"/>
      <c r="P577" s="1485"/>
      <c r="Q577" s="1485"/>
      <c r="R577" s="1485"/>
      <c r="T577" s="55" t="s">
        <v>580</v>
      </c>
      <c r="U577" t="s">
        <v>462</v>
      </c>
      <c r="Z577" s="1485" t="str">
        <f>C557</f>
        <v>Key CDC (Tax Credit Equity)</v>
      </c>
      <c r="AA577" s="1485"/>
      <c r="AB577" s="1485"/>
      <c r="AC577" s="1485"/>
      <c r="AD577" s="1485"/>
      <c r="AE577" s="1485"/>
      <c r="AF577" s="1485"/>
      <c r="AG577" s="1485"/>
      <c r="AH577" s="1485"/>
      <c r="AI577" s="1485"/>
      <c r="AJ577" s="1485"/>
      <c r="AK577" s="1485"/>
      <c r="BB577" s="3"/>
      <c r="BC577" s="3"/>
    </row>
    <row r="578" spans="1:55" ht="12.95" customHeight="1">
      <c r="A578" s="22"/>
      <c r="B578" t="s">
        <v>85</v>
      </c>
      <c r="G578" s="1409" t="str">
        <f>'[1]Data Port'!$G$511</f>
        <v>1675 Broadway</v>
      </c>
      <c r="H578" s="1409"/>
      <c r="I578" s="1409"/>
      <c r="J578" s="1409"/>
      <c r="K578" s="1409"/>
      <c r="L578" s="1409"/>
      <c r="M578" s="1409"/>
      <c r="N578" s="1409"/>
      <c r="O578" s="1409"/>
      <c r="P578" s="1409"/>
      <c r="Q578" s="1409"/>
      <c r="R578" s="1409"/>
      <c r="T578" s="22"/>
      <c r="U578" t="s">
        <v>85</v>
      </c>
      <c r="Z578" s="1409" t="str">
        <f>'[1]Data Port'!$G$519</f>
        <v>1675 Broadway</v>
      </c>
      <c r="AA578" s="1409"/>
      <c r="AB578" s="1409"/>
      <c r="AC578" s="1409"/>
      <c r="AD578" s="1409"/>
      <c r="AE578" s="1409"/>
      <c r="AF578" s="1409"/>
      <c r="AG578" s="1409"/>
      <c r="AH578" s="1409"/>
      <c r="AI578" s="1409"/>
      <c r="AJ578" s="1409"/>
      <c r="AK578" s="1409"/>
      <c r="BB578" s="3"/>
      <c r="BC578" s="3"/>
    </row>
    <row r="579" spans="1:55" ht="12.95" customHeight="1">
      <c r="A579" s="22"/>
      <c r="B579" t="s">
        <v>579</v>
      </c>
      <c r="G579" s="1372" t="str">
        <f>'[1]Data Port'!$G$512</f>
        <v>Denver, CO 80202</v>
      </c>
      <c r="H579" s="1372"/>
      <c r="I579" s="1372"/>
      <c r="J579" s="1372"/>
      <c r="K579" s="1372"/>
      <c r="L579" s="1372"/>
      <c r="M579" s="1372"/>
      <c r="N579" s="1372"/>
      <c r="O579" s="1372"/>
      <c r="P579" s="1372"/>
      <c r="Q579" s="1372"/>
      <c r="R579" s="1372"/>
      <c r="T579" s="22"/>
      <c r="U579" t="s">
        <v>579</v>
      </c>
      <c r="Z579" s="1372" t="str">
        <f>'[1]Data Port'!$G$520</f>
        <v>Denver, CO 80202</v>
      </c>
      <c r="AA579" s="1372"/>
      <c r="AB579" s="1372"/>
      <c r="AC579" s="1372"/>
      <c r="AD579" s="1372"/>
      <c r="AE579" s="1372"/>
      <c r="AF579" s="1372"/>
      <c r="AG579" s="1372"/>
      <c r="AH579" s="1372"/>
      <c r="AI579" s="1372"/>
      <c r="AJ579" s="1372"/>
      <c r="AK579" s="1372"/>
      <c r="BB579" s="3"/>
      <c r="BC579" s="3"/>
    </row>
    <row r="580" spans="1:55" ht="12.95" customHeight="1">
      <c r="A580" s="22"/>
      <c r="B580" t="s">
        <v>17</v>
      </c>
      <c r="G580" s="1372" t="str">
        <f>'[1]Data Port'!$G$513</f>
        <v>Eileen Tran</v>
      </c>
      <c r="H580" s="1372"/>
      <c r="I580" s="1372"/>
      <c r="J580" s="1372"/>
      <c r="K580" s="1372"/>
      <c r="L580" s="1372"/>
      <c r="M580" s="1372"/>
      <c r="N580" s="1372"/>
      <c r="O580" s="1372"/>
      <c r="P580" s="1372"/>
      <c r="Q580" s="1372"/>
      <c r="R580" s="1372"/>
      <c r="T580" s="22"/>
      <c r="U580" t="s">
        <v>17</v>
      </c>
      <c r="Z580" s="1372" t="str">
        <f>'[1]Data Port'!$G$521</f>
        <v>Eileen Tran</v>
      </c>
      <c r="AA580" s="1372"/>
      <c r="AB580" s="1372"/>
      <c r="AC580" s="1372"/>
      <c r="AD580" s="1372"/>
      <c r="AE580" s="1372"/>
      <c r="AF580" s="1372"/>
      <c r="AG580" s="1372"/>
      <c r="AH580" s="1372"/>
      <c r="AI580" s="1372"/>
      <c r="AJ580" s="1372"/>
      <c r="AK580" s="1372"/>
      <c r="BB580" s="3"/>
      <c r="BC580" s="3"/>
    </row>
    <row r="581" spans="1:55" ht="12.95" customHeight="1">
      <c r="A581" s="22"/>
      <c r="B581" t="s">
        <v>316</v>
      </c>
      <c r="G581" s="1489" t="str">
        <f>'[1]Data Port'!$G$514</f>
        <v>720.904.4091</v>
      </c>
      <c r="H581" s="1489"/>
      <c r="I581" s="1489"/>
      <c r="J581" s="1489"/>
      <c r="K581" s="1489"/>
      <c r="L581" s="1489"/>
      <c r="O581" s="33" t="s">
        <v>206</v>
      </c>
      <c r="P581" s="1473"/>
      <c r="Q581" s="1473"/>
      <c r="R581" s="1473"/>
      <c r="T581" s="22"/>
      <c r="U581" t="s">
        <v>316</v>
      </c>
      <c r="Z581" s="1489" t="str">
        <f>'[1]Data Port'!$G$522</f>
        <v>720.904.4091</v>
      </c>
      <c r="AA581" s="1489"/>
      <c r="AB581" s="1489"/>
      <c r="AC581" s="1489"/>
      <c r="AD581" s="1489"/>
      <c r="AE581" s="1489"/>
      <c r="AH581" s="33" t="s">
        <v>206</v>
      </c>
      <c r="AI581" s="1473"/>
      <c r="AJ581" s="1473"/>
      <c r="AK581" s="1473"/>
      <c r="BB581" s="3"/>
      <c r="BC581" s="3"/>
    </row>
    <row r="582" spans="1:55" ht="12.95" customHeight="1">
      <c r="A582" s="22"/>
      <c r="B582" t="s">
        <v>18</v>
      </c>
      <c r="H582" s="1409" t="str">
        <f>'[1]Data Port'!$G$515</f>
        <v>Taxable Loan</v>
      </c>
      <c r="I582" s="1409"/>
      <c r="J582" s="1409"/>
      <c r="K582" s="1409"/>
      <c r="L582" s="1409"/>
      <c r="M582" s="1409"/>
      <c r="N582" s="1409"/>
      <c r="O582" s="1409"/>
      <c r="P582" s="1409"/>
      <c r="Q582" s="1409"/>
      <c r="R582" s="1409"/>
      <c r="T582" s="22"/>
      <c r="U582" t="s">
        <v>18</v>
      </c>
      <c r="AA582" s="1409" t="str">
        <f>'[1]Data Port'!$G$523</f>
        <v>LIHTC equity</v>
      </c>
      <c r="AB582" s="1409"/>
      <c r="AC582" s="1409"/>
      <c r="AD582" s="1409"/>
      <c r="AE582" s="1409"/>
      <c r="AF582" s="1409"/>
      <c r="AG582" s="1409"/>
      <c r="AH582" s="1409"/>
      <c r="AI582" s="1409"/>
      <c r="AJ582" s="1409"/>
      <c r="AK582" s="1409"/>
      <c r="BB582" s="3"/>
      <c r="BC582" s="3"/>
    </row>
    <row r="583" spans="1:55" ht="12.95" customHeight="1">
      <c r="A583" s="22"/>
      <c r="B583" t="s">
        <v>20</v>
      </c>
      <c r="N583" s="1417" t="str">
        <f>'[1]Data Port'!$G$516</f>
        <v>Yes</v>
      </c>
      <c r="O583" s="1417"/>
      <c r="T583" s="22"/>
      <c r="U583" t="s">
        <v>20</v>
      </c>
      <c r="AG583" s="1417" t="str">
        <f>'[1]Data Port'!$G$524</f>
        <v>Yes</v>
      </c>
      <c r="AH583" s="1417"/>
      <c r="BB583" s="3"/>
      <c r="BC583" s="3"/>
    </row>
    <row r="584" spans="1:55" ht="12.95" customHeight="1">
      <c r="A584" s="22"/>
      <c r="T584" s="22"/>
      <c r="BB584" s="3"/>
      <c r="BC584" s="3"/>
    </row>
    <row r="585" spans="1:55" ht="12.95" customHeight="1">
      <c r="A585" s="55" t="s">
        <v>762</v>
      </c>
      <c r="B585" t="s">
        <v>462</v>
      </c>
      <c r="G585" s="1485" t="str">
        <f>C558</f>
        <v>Deferred Fees until Conversion (Developer fee reserves, etc)</v>
      </c>
      <c r="H585" s="1485"/>
      <c r="I585" s="1485"/>
      <c r="J585" s="1485"/>
      <c r="K585" s="1485"/>
      <c r="L585" s="1485"/>
      <c r="M585" s="1485"/>
      <c r="N585" s="1485"/>
      <c r="O585" s="1485"/>
      <c r="P585" s="1485"/>
      <c r="Q585" s="1485"/>
      <c r="R585" s="1485"/>
      <c r="T585" s="55" t="s">
        <v>583</v>
      </c>
      <c r="U585" t="s">
        <v>462</v>
      </c>
      <c r="Z585" s="1485" t="str">
        <f>C559</f>
        <v>Deferred Developer Fee</v>
      </c>
      <c r="AA585" s="1485"/>
      <c r="AB585" s="1485"/>
      <c r="AC585" s="1485"/>
      <c r="AD585" s="1485"/>
      <c r="AE585" s="1485"/>
      <c r="AF585" s="1485"/>
      <c r="AG585" s="1485"/>
      <c r="AH585" s="1485"/>
      <c r="AI585" s="1485"/>
      <c r="AJ585" s="1485"/>
      <c r="AK585" s="1485"/>
      <c r="BB585" s="3"/>
      <c r="BC585" s="3"/>
    </row>
    <row r="586" spans="1:55" ht="12.95" customHeight="1">
      <c r="A586" s="22"/>
      <c r="B586" t="s">
        <v>85</v>
      </c>
      <c r="G586" s="1409" t="str">
        <f>'[1]Data Port'!$G$527</f>
        <v>411 2nd Street</v>
      </c>
      <c r="H586" s="1409"/>
      <c r="I586" s="1409"/>
      <c r="J586" s="1409"/>
      <c r="K586" s="1409"/>
      <c r="L586" s="1409"/>
      <c r="M586" s="1409"/>
      <c r="N586" s="1409"/>
      <c r="O586" s="1409"/>
      <c r="P586" s="1409"/>
      <c r="Q586" s="1409"/>
      <c r="R586" s="1409"/>
      <c r="T586" s="22"/>
      <c r="U586" t="s">
        <v>85</v>
      </c>
      <c r="Z586" s="1409" t="str">
        <f>'[1]Data Port'!$G$535</f>
        <v>411 2nd Street</v>
      </c>
      <c r="AA586" s="1409"/>
      <c r="AB586" s="1409"/>
      <c r="AC586" s="1409"/>
      <c r="AD586" s="1409"/>
      <c r="AE586" s="1409"/>
      <c r="AF586" s="1409"/>
      <c r="AG586" s="1409"/>
      <c r="AH586" s="1409"/>
      <c r="AI586" s="1409"/>
      <c r="AJ586" s="1409"/>
      <c r="AK586" s="1409"/>
      <c r="BB586" s="3"/>
      <c r="BC586" s="3"/>
    </row>
    <row r="587" spans="1:55" ht="12.95" customHeight="1">
      <c r="A587" s="22"/>
      <c r="B587" t="s">
        <v>579</v>
      </c>
      <c r="G587" s="1409" t="str">
        <f>'[1]Data Port'!$G$528</f>
        <v>Oakland</v>
      </c>
      <c r="H587" s="1409"/>
      <c r="I587" s="1409"/>
      <c r="J587" s="1409"/>
      <c r="K587" s="1409"/>
      <c r="L587" s="1409"/>
      <c r="M587" s="1409"/>
      <c r="N587" s="1409"/>
      <c r="O587" s="1409"/>
      <c r="P587" s="1409"/>
      <c r="Q587" s="1409"/>
      <c r="R587" s="1409"/>
      <c r="T587" s="22"/>
      <c r="U587" t="s">
        <v>579</v>
      </c>
      <c r="Z587" s="1372" t="str">
        <f>'[1]Data Port'!$G$536</f>
        <v>Oakland</v>
      </c>
      <c r="AA587" s="1372"/>
      <c r="AB587" s="1372"/>
      <c r="AC587" s="1372"/>
      <c r="AD587" s="1372"/>
      <c r="AE587" s="1372"/>
      <c r="AF587" s="1372"/>
      <c r="AG587" s="1372"/>
      <c r="AH587" s="1372"/>
      <c r="AI587" s="1372"/>
      <c r="AJ587" s="1372"/>
      <c r="AK587" s="1372"/>
      <c r="BB587" s="3"/>
      <c r="BC587" s="3"/>
    </row>
    <row r="588" spans="1:55" ht="12.95" customHeight="1">
      <c r="A588" s="22"/>
      <c r="B588" t="s">
        <v>17</v>
      </c>
      <c r="G588" s="1409" t="str">
        <f>'[1]Data Port'!$G$529</f>
        <v>Jeremy Harris</v>
      </c>
      <c r="H588" s="1409"/>
      <c r="I588" s="1409"/>
      <c r="J588" s="1409"/>
      <c r="K588" s="1409"/>
      <c r="L588" s="1409"/>
      <c r="M588" s="1409"/>
      <c r="N588" s="1409"/>
      <c r="O588" s="1409"/>
      <c r="P588" s="1409"/>
      <c r="Q588" s="1409"/>
      <c r="R588" s="1409"/>
      <c r="T588" s="22"/>
      <c r="U588" t="s">
        <v>17</v>
      </c>
      <c r="Z588" s="1372" t="str">
        <f>'[1]Data Port'!$G$537</f>
        <v>Jeremy Harris</v>
      </c>
      <c r="AA588" s="1372"/>
      <c r="AB588" s="1372"/>
      <c r="AC588" s="1372"/>
      <c r="AD588" s="1372"/>
      <c r="AE588" s="1372"/>
      <c r="AF588" s="1372"/>
      <c r="AG588" s="1372"/>
      <c r="AH588" s="1372"/>
      <c r="AI588" s="1372"/>
      <c r="AJ588" s="1372"/>
      <c r="AK588" s="1372"/>
    </row>
    <row r="589" spans="1:55" ht="12.95" customHeight="1">
      <c r="A589" s="22"/>
      <c r="B589" t="s">
        <v>316</v>
      </c>
      <c r="G589" s="1489">
        <f>'[1]Data Port'!$G$530</f>
        <v>8584495270</v>
      </c>
      <c r="H589" s="1489"/>
      <c r="I589" s="1489"/>
      <c r="J589" s="1489"/>
      <c r="K589" s="1489"/>
      <c r="L589" s="1489"/>
      <c r="O589" s="33" t="s">
        <v>206</v>
      </c>
      <c r="P589" s="1473"/>
      <c r="Q589" s="1473"/>
      <c r="R589" s="1473"/>
      <c r="T589" s="22"/>
      <c r="U589" t="s">
        <v>316</v>
      </c>
      <c r="Z589" s="1489">
        <f>'[1]Data Port'!$G$538</f>
        <v>8584495270</v>
      </c>
      <c r="AA589" s="1489"/>
      <c r="AB589" s="1489"/>
      <c r="AC589" s="1489"/>
      <c r="AD589" s="1489"/>
      <c r="AE589" s="1489"/>
      <c r="AH589" s="33" t="s">
        <v>206</v>
      </c>
      <c r="AI589" s="1473"/>
      <c r="AJ589" s="1473"/>
      <c r="AK589" s="1473"/>
      <c r="AZ589" s="3"/>
      <c r="BA589" s="3"/>
      <c r="BB589" s="3"/>
      <c r="BC589" s="3"/>
    </row>
    <row r="590" spans="1:55" ht="12.95" customHeight="1">
      <c r="A590" s="22"/>
      <c r="B590" t="s">
        <v>18</v>
      </c>
      <c r="H590" s="1409" t="str">
        <f>'[1]Data Port'!$G$531</f>
        <v>Cost Deferral</v>
      </c>
      <c r="I590" s="1409"/>
      <c r="J590" s="1409"/>
      <c r="K590" s="1409"/>
      <c r="L590" s="1409"/>
      <c r="M590" s="1409"/>
      <c r="N590" s="1409"/>
      <c r="O590" s="1409"/>
      <c r="P590" s="1409"/>
      <c r="Q590" s="1409"/>
      <c r="R590" s="1409"/>
      <c r="T590" s="22"/>
      <c r="U590" t="s">
        <v>18</v>
      </c>
      <c r="AA590" s="1409" t="str">
        <f>'[1]Data Port'!$G$539</f>
        <v>Deferred Development Fee</v>
      </c>
      <c r="AB590" s="1409"/>
      <c r="AC590" s="1409"/>
      <c r="AD590" s="1409"/>
      <c r="AE590" s="1409"/>
      <c r="AF590" s="1409"/>
      <c r="AG590" s="1409"/>
      <c r="AH590" s="1409"/>
      <c r="AI590" s="1409"/>
      <c r="AJ590" s="1409"/>
      <c r="AK590" s="1409"/>
      <c r="AZ590" s="3"/>
      <c r="BA590" s="3"/>
      <c r="BB590" s="3"/>
      <c r="BC590" s="3"/>
    </row>
    <row r="591" spans="1:55" ht="12.95" customHeight="1">
      <c r="A591" s="22"/>
      <c r="B591" t="s">
        <v>20</v>
      </c>
      <c r="N591" s="1417" t="str">
        <f>'[1]Data Port'!$G$532</f>
        <v>Yes</v>
      </c>
      <c r="O591" s="1417"/>
      <c r="T591" s="22"/>
      <c r="U591" t="s">
        <v>20</v>
      </c>
      <c r="AG591" s="1417" t="str">
        <f>'[1]Data Port'!$G$540</f>
        <v>Yes</v>
      </c>
      <c r="AH591" s="1417"/>
      <c r="AZ591" s="3"/>
      <c r="BA591" s="3"/>
      <c r="BB591" s="3"/>
      <c r="BC591" s="3"/>
    </row>
    <row r="592" spans="1:55" ht="12.95" customHeight="1">
      <c r="A592" s="22"/>
      <c r="T592" s="22"/>
      <c r="AZ592" s="3"/>
      <c r="BA592" s="3"/>
      <c r="BB592" s="3"/>
      <c r="BC592" s="3"/>
    </row>
    <row r="593" spans="1:55" ht="12.95" customHeight="1">
      <c r="A593" s="55" t="s">
        <v>454</v>
      </c>
      <c r="B593" t="s">
        <v>462</v>
      </c>
      <c r="G593" s="1485">
        <f>C560</f>
        <v>0</v>
      </c>
      <c r="H593" s="1485"/>
      <c r="I593" s="1485"/>
      <c r="J593" s="1485"/>
      <c r="K593" s="1485"/>
      <c r="L593" s="1485"/>
      <c r="M593" s="1485"/>
      <c r="N593" s="1485"/>
      <c r="O593" s="1485"/>
      <c r="P593" s="1485"/>
      <c r="Q593" s="1485"/>
      <c r="R593" s="1485"/>
      <c r="T593" s="55" t="s">
        <v>455</v>
      </c>
      <c r="U593" t="s">
        <v>462</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9">
        <f>IF(G593=0,0,'[1]Data Port'!$G$543)</f>
        <v>0</v>
      </c>
      <c r="H594" s="1409"/>
      <c r="I594" s="1409"/>
      <c r="J594" s="1409"/>
      <c r="K594" s="1409"/>
      <c r="L594" s="1409"/>
      <c r="M594" s="1409"/>
      <c r="N594" s="1409"/>
      <c r="O594" s="1409"/>
      <c r="P594" s="1409"/>
      <c r="Q594" s="1409"/>
      <c r="R594" s="1409"/>
      <c r="S594"/>
      <c r="T594" s="22"/>
      <c r="U594" t="s">
        <v>85</v>
      </c>
      <c r="V594"/>
      <c r="W594"/>
      <c r="X594"/>
      <c r="Y594"/>
      <c r="Z594" s="1409">
        <f>IF(Z593=0,0,'[1]Data Port'!$G$551)</f>
        <v>0</v>
      </c>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9">
        <f>IF(G593=0,0,'[1]Data Port'!$G$544)</f>
        <v>0</v>
      </c>
      <c r="H595" s="1409"/>
      <c r="I595" s="1409"/>
      <c r="J595" s="1409"/>
      <c r="K595" s="1409"/>
      <c r="L595" s="1409"/>
      <c r="M595" s="1409"/>
      <c r="N595" s="1409"/>
      <c r="O595" s="1409"/>
      <c r="P595" s="1409"/>
      <c r="Q595" s="1409"/>
      <c r="R595" s="1409"/>
      <c r="S595"/>
      <c r="T595" s="22"/>
      <c r="U595" t="s">
        <v>579</v>
      </c>
      <c r="V595"/>
      <c r="W595"/>
      <c r="X595"/>
      <c r="Y595"/>
      <c r="Z595" s="1372">
        <f>IF(Z593=0,0,'[1]Data Port'!$G$552)</f>
        <v>0</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9">
        <f>IF(G593=0,0,'[1]Data Port'!$G$545)</f>
        <v>0</v>
      </c>
      <c r="H596" s="1409"/>
      <c r="I596" s="1409"/>
      <c r="J596" s="1409"/>
      <c r="K596" s="1409"/>
      <c r="L596" s="1409"/>
      <c r="M596" s="1409"/>
      <c r="N596" s="1409"/>
      <c r="O596" s="1409"/>
      <c r="P596" s="1409"/>
      <c r="Q596" s="1409"/>
      <c r="R596" s="1409"/>
      <c r="S596"/>
      <c r="T596" s="22"/>
      <c r="U596" t="s">
        <v>17</v>
      </c>
      <c r="V596"/>
      <c r="W596"/>
      <c r="X596"/>
      <c r="Y596"/>
      <c r="Z596" s="1372">
        <f>IF(Z593=0,0,'[1]Data Port'!$G$553)</f>
        <v>0</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9">
        <f>IF(G593=0,0,'[1]Data Port'!$G$546)</f>
        <v>0</v>
      </c>
      <c r="H597" s="1489"/>
      <c r="I597" s="1489"/>
      <c r="J597" s="1489"/>
      <c r="K597" s="1489"/>
      <c r="L597" s="1489"/>
      <c r="M597"/>
      <c r="N597"/>
      <c r="O597" s="33" t="s">
        <v>206</v>
      </c>
      <c r="P597" s="1473"/>
      <c r="Q597" s="1473"/>
      <c r="R597" s="1473"/>
      <c r="S597"/>
      <c r="T597" s="22"/>
      <c r="U597" t="s">
        <v>316</v>
      </c>
      <c r="V597"/>
      <c r="W597"/>
      <c r="X597"/>
      <c r="Y597"/>
      <c r="Z597" s="1489">
        <f>IF(Z593=0,0,'[1]Data Port'!$G$554)</f>
        <v>0</v>
      </c>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9">
        <f>IF(G593=0,0,'[1]Data Port'!$G$547)</f>
        <v>0</v>
      </c>
      <c r="I598" s="1409"/>
      <c r="J598" s="1409"/>
      <c r="K598" s="1409"/>
      <c r="L598" s="1409"/>
      <c r="M598" s="1409"/>
      <c r="N598" s="1409"/>
      <c r="O598" s="1409"/>
      <c r="P598" s="1409"/>
      <c r="Q598" s="1409"/>
      <c r="R598" s="1409"/>
      <c r="S598"/>
      <c r="T598" s="22"/>
      <c r="U598" t="s">
        <v>18</v>
      </c>
      <c r="V598"/>
      <c r="W598"/>
      <c r="X598"/>
      <c r="Y598"/>
      <c r="Z598"/>
      <c r="AA598" s="1409">
        <f>IF(Z593=0,0,'[1]Data Port'!$G$555)</f>
        <v>0</v>
      </c>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2.95" customHeight="1">
      <c r="A599" s="22"/>
      <c r="B599" t="s">
        <v>20</v>
      </c>
      <c r="N599" s="1417" t="str">
        <f>IF(G593=0,"No",'[1]Data Port'!$G$548)</f>
        <v>No</v>
      </c>
      <c r="O599" s="1417"/>
      <c r="T599" s="22"/>
      <c r="U599" t="s">
        <v>20</v>
      </c>
      <c r="AG599" s="1417" t="str">
        <f>IF(Z593=0,"No",'[1]Data Port'!$G$556)</f>
        <v>No</v>
      </c>
      <c r="AH599" s="1417"/>
      <c r="BB599" s="3"/>
      <c r="BC599" s="3"/>
    </row>
    <row r="600" spans="1:55" ht="12.95" customHeight="1">
      <c r="A600" s="22"/>
      <c r="T600" s="22"/>
      <c r="BB600" s="3"/>
      <c r="BC600" s="3"/>
    </row>
    <row r="601" spans="1:55" ht="12.95" customHeight="1">
      <c r="A601" s="55" t="s">
        <v>460</v>
      </c>
      <c r="B601" t="s">
        <v>462</v>
      </c>
      <c r="G601" s="1485">
        <f>C562</f>
        <v>0</v>
      </c>
      <c r="H601" s="1485"/>
      <c r="I601" s="1485"/>
      <c r="J601" s="1485"/>
      <c r="K601" s="1485"/>
      <c r="L601" s="1485"/>
      <c r="M601" s="1485"/>
      <c r="N601" s="1485"/>
      <c r="O601" s="1485"/>
      <c r="P601" s="1485"/>
      <c r="Q601" s="1485"/>
      <c r="R601" s="1485"/>
      <c r="T601" s="55" t="s">
        <v>645</v>
      </c>
      <c r="U601" t="s">
        <v>462</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2.95" customHeight="1">
      <c r="A603" s="22"/>
      <c r="B603" t="s">
        <v>579</v>
      </c>
      <c r="G603" s="1409"/>
      <c r="H603" s="1409"/>
      <c r="I603" s="1409"/>
      <c r="J603" s="1409"/>
      <c r="K603" s="1409"/>
      <c r="L603" s="1409"/>
      <c r="M603" s="1409"/>
      <c r="N603" s="1409"/>
      <c r="O603" s="1409"/>
      <c r="P603" s="1409"/>
      <c r="Q603" s="1409"/>
      <c r="R603" s="1409"/>
      <c r="T603" s="22"/>
      <c r="U603" t="s">
        <v>579</v>
      </c>
      <c r="Z603" s="1372"/>
      <c r="AA603" s="1372"/>
      <c r="AB603" s="1372"/>
      <c r="AC603" s="1372"/>
      <c r="AD603" s="1372"/>
      <c r="AE603" s="1372"/>
      <c r="AF603" s="1372"/>
      <c r="AG603" s="1372"/>
      <c r="AH603" s="1372"/>
      <c r="AI603" s="1372"/>
      <c r="AJ603" s="1372"/>
      <c r="AK603" s="1372"/>
      <c r="AZ603" s="3"/>
      <c r="BA603" s="3"/>
      <c r="BB603" s="3"/>
      <c r="BC603" s="3"/>
    </row>
    <row r="604" spans="1:55" ht="12.95" customHeight="1">
      <c r="A604" s="22"/>
      <c r="B604" t="s">
        <v>17</v>
      </c>
      <c r="G604" s="1409"/>
      <c r="H604" s="1409"/>
      <c r="I604" s="1409"/>
      <c r="J604" s="1409"/>
      <c r="K604" s="1409"/>
      <c r="L604" s="1409"/>
      <c r="M604" s="1409"/>
      <c r="N604" s="1409"/>
      <c r="O604" s="1409"/>
      <c r="P604" s="1409"/>
      <c r="Q604" s="1409"/>
      <c r="R604" s="1409"/>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7" t="s">
        <v>668</v>
      </c>
      <c r="O607" s="1417"/>
      <c r="P607"/>
      <c r="Q607"/>
      <c r="R607"/>
      <c r="S607"/>
      <c r="T607" s="22"/>
      <c r="U607" t="s">
        <v>20</v>
      </c>
      <c r="V607"/>
      <c r="W607"/>
      <c r="X607"/>
      <c r="Y607"/>
      <c r="Z607"/>
      <c r="AA607"/>
      <c r="AB607"/>
      <c r="AC607"/>
      <c r="AD607"/>
      <c r="AE607"/>
      <c r="AF607"/>
      <c r="AG607" s="1417" t="s">
        <v>668</v>
      </c>
      <c r="AH607" s="141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485">
        <f>C564</f>
        <v>0</v>
      </c>
      <c r="H609" s="1485"/>
      <c r="I609" s="1485"/>
      <c r="J609" s="1485"/>
      <c r="K609" s="1485"/>
      <c r="L609" s="1485"/>
      <c r="M609" s="1485"/>
      <c r="N609" s="1485"/>
      <c r="O609" s="1485"/>
      <c r="P609" s="1485"/>
      <c r="Q609" s="1485"/>
      <c r="R609" s="1485"/>
      <c r="T609" s="55" t="s">
        <v>363</v>
      </c>
      <c r="U609" t="s">
        <v>462</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2.95" customHeight="1">
      <c r="B611" t="s">
        <v>579</v>
      </c>
      <c r="G611" s="1409"/>
      <c r="H611" s="1409"/>
      <c r="I611" s="1409"/>
      <c r="J611" s="1409"/>
      <c r="K611" s="1409"/>
      <c r="L611" s="1409"/>
      <c r="M611" s="1409"/>
      <c r="N611" s="1409"/>
      <c r="O611" s="1409"/>
      <c r="P611" s="1409"/>
      <c r="Q611" s="1409"/>
      <c r="R611" s="1409"/>
      <c r="U611" t="s">
        <v>579</v>
      </c>
      <c r="Z611" s="1372"/>
      <c r="AA611" s="1372"/>
      <c r="AB611" s="1372"/>
      <c r="AC611" s="1372"/>
      <c r="AD611" s="1372"/>
      <c r="AE611" s="1372"/>
      <c r="AF611" s="1372"/>
      <c r="AG611" s="1372"/>
      <c r="AH611" s="1372"/>
      <c r="AI611" s="1372"/>
      <c r="AJ611" s="1372"/>
      <c r="AK611" s="1372"/>
      <c r="AZ611" s="3"/>
      <c r="BA611" s="3"/>
      <c r="BB611" s="3"/>
      <c r="BC611" s="3"/>
    </row>
    <row r="612" spans="1:55" ht="12.95" customHeight="1">
      <c r="B612" t="s">
        <v>17</v>
      </c>
      <c r="G612" s="1409"/>
      <c r="H612" s="1409"/>
      <c r="I612" s="1409"/>
      <c r="J612" s="1409"/>
      <c r="K612" s="1409"/>
      <c r="L612" s="1409"/>
      <c r="M612" s="1409"/>
      <c r="N612" s="1409"/>
      <c r="O612" s="1409"/>
      <c r="P612" s="1409"/>
      <c r="Q612" s="1409"/>
      <c r="R612" s="1409"/>
      <c r="U612" t="s">
        <v>17</v>
      </c>
      <c r="Z612" s="1372"/>
      <c r="AA612" s="1372"/>
      <c r="AB612" s="1372"/>
      <c r="AC612" s="1372"/>
      <c r="AD612" s="1372"/>
      <c r="AE612" s="1372"/>
      <c r="AF612" s="1372"/>
      <c r="AG612" s="1372"/>
      <c r="AH612" s="1372"/>
      <c r="AI612" s="1372"/>
      <c r="AJ612" s="1372"/>
      <c r="AK612" s="1372"/>
      <c r="AZ612" s="3"/>
      <c r="BA612" s="3"/>
      <c r="BB612" s="3"/>
      <c r="BC612" s="3"/>
    </row>
    <row r="613" spans="1:55" ht="12.9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5"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2.95" customHeight="1">
      <c r="B615" t="s">
        <v>20</v>
      </c>
      <c r="N615" s="1417" t="s">
        <v>668</v>
      </c>
      <c r="O615" s="1417"/>
      <c r="U615" t="s">
        <v>20</v>
      </c>
      <c r="AG615" s="1417" t="s">
        <v>668</v>
      </c>
      <c r="AH615" s="1417"/>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673" t="s">
        <v>2099</v>
      </c>
      <c r="C624" s="1673"/>
      <c r="D624" s="1673"/>
      <c r="E624" s="1673"/>
      <c r="F624" s="1673"/>
      <c r="G624" s="1673"/>
      <c r="H624" s="1673"/>
      <c r="I624" s="1673"/>
      <c r="J624" s="1673"/>
      <c r="K624" s="1673"/>
      <c r="L624" s="1673"/>
      <c r="M624" s="1678" t="s">
        <v>2100</v>
      </c>
      <c r="N624" s="1678"/>
      <c r="O624" s="1678"/>
      <c r="P624" s="1678"/>
      <c r="Q624" s="1678" t="s">
        <v>1850</v>
      </c>
      <c r="R624" s="1678"/>
      <c r="S624" s="1678"/>
      <c r="T624" s="1678" t="s">
        <v>1848</v>
      </c>
      <c r="U624" s="1678"/>
      <c r="V624" s="1678"/>
      <c r="W624" s="1674" t="s">
        <v>452</v>
      </c>
      <c r="X624" s="1674"/>
      <c r="Y624" s="1674"/>
      <c r="Z624" s="1399" t="s">
        <v>2129</v>
      </c>
      <c r="AA624" s="1399"/>
      <c r="AB624" s="1400"/>
      <c r="AC624" s="1679" t="s">
        <v>1674</v>
      </c>
      <c r="AD624" s="1680"/>
      <c r="AE624" s="1681"/>
      <c r="AF624" s="1398" t="s">
        <v>1928</v>
      </c>
      <c r="AG624" s="1399"/>
      <c r="AH624" s="1399"/>
      <c r="AI624" s="1399"/>
      <c r="AJ624" s="1400"/>
      <c r="AK624" s="1594" t="s">
        <v>1929</v>
      </c>
      <c r="AL624" s="1595"/>
      <c r="AM624" s="1595"/>
      <c r="AN624" s="1596"/>
      <c r="AO624" s="1678" t="s">
        <v>453</v>
      </c>
      <c r="AP624" s="1678"/>
      <c r="AQ624" s="1678"/>
      <c r="AR624" s="1678"/>
      <c r="AS624" s="1678"/>
      <c r="AU624" s="3"/>
      <c r="AZ624" s="3"/>
      <c r="BA624" s="3"/>
      <c r="BB624" s="3"/>
      <c r="BC624" s="3"/>
    </row>
    <row r="625" spans="2:157" ht="12.95"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2"/>
      <c r="AA625" s="1402"/>
      <c r="AB625" s="1403"/>
      <c r="AC625" s="1682"/>
      <c r="AD625" s="1683"/>
      <c r="AE625" s="1684"/>
      <c r="AF625" s="1401"/>
      <c r="AG625" s="1402"/>
      <c r="AH625" s="1402"/>
      <c r="AI625" s="1402"/>
      <c r="AJ625" s="1403"/>
      <c r="AK625" s="1597"/>
      <c r="AL625" s="1598"/>
      <c r="AM625" s="1598"/>
      <c r="AN625" s="1599"/>
      <c r="AO625" s="1678"/>
      <c r="AP625" s="1678"/>
      <c r="AQ625" s="1678"/>
      <c r="AR625" s="1678"/>
      <c r="AS625" s="1678"/>
      <c r="AU625" s="3"/>
      <c r="AZ625" s="3"/>
      <c r="BA625" s="3"/>
      <c r="BB625" s="3"/>
      <c r="BC625" s="3"/>
      <c r="BD625" s="3"/>
    </row>
    <row r="626" spans="2:157" ht="12.95"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5"/>
      <c r="AA626" s="1405"/>
      <c r="AB626" s="1406"/>
      <c r="AC626" s="1685"/>
      <c r="AD626" s="1686"/>
      <c r="AE626" s="1687"/>
      <c r="AF626" s="1404"/>
      <c r="AG626" s="1405"/>
      <c r="AH626" s="1405"/>
      <c r="AI626" s="1405"/>
      <c r="AJ626" s="1406"/>
      <c r="AK626" s="1600"/>
      <c r="AL626" s="1601"/>
      <c r="AM626" s="1601"/>
      <c r="AN626" s="1602"/>
      <c r="AO626" s="1678"/>
      <c r="AP626" s="1678"/>
      <c r="AQ626" s="1678"/>
      <c r="AR626" s="1678"/>
      <c r="AS626" s="1678"/>
      <c r="AT626" s="3"/>
      <c r="AU626" s="3"/>
      <c r="AZ626" s="3"/>
      <c r="BA626" s="3"/>
      <c r="BB626" s="3"/>
      <c r="BC626" s="3"/>
      <c r="BD626" s="3"/>
    </row>
    <row r="627" spans="2:157" ht="12.95" customHeight="1">
      <c r="B627" s="51" t="s">
        <v>112</v>
      </c>
      <c r="C627" s="1481" t="str">
        <f>'[1]Data Port'!$G$591</f>
        <v>Keybank (Permanent Loan)</v>
      </c>
      <c r="D627" s="1481"/>
      <c r="E627" s="1481"/>
      <c r="F627" s="1481"/>
      <c r="G627" s="1481"/>
      <c r="H627" s="1481"/>
      <c r="I627" s="1481"/>
      <c r="J627" s="1481"/>
      <c r="K627" s="1481"/>
      <c r="L627" s="1481"/>
      <c r="M627" s="1495" t="s">
        <v>1182</v>
      </c>
      <c r="N627" s="1495"/>
      <c r="O627" s="1495"/>
      <c r="P627" s="1495"/>
      <c r="Q627" s="1511">
        <f>'[1]Data Port'!$G$593</f>
        <v>180</v>
      </c>
      <c r="R627" s="1511"/>
      <c r="S627" s="1512"/>
      <c r="T627" s="1510">
        <f>'[1]Data Port'!$G$594</f>
        <v>480</v>
      </c>
      <c r="U627" s="1511"/>
      <c r="V627" s="1512"/>
      <c r="W627" s="1482">
        <f>'[1]Data Port'!$G$595</f>
        <v>0.06</v>
      </c>
      <c r="X627" s="1483"/>
      <c r="Y627" s="1484"/>
      <c r="Z627" s="1478" t="str">
        <f>'[1]Data Port'!$G$596</f>
        <v>Required</v>
      </c>
      <c r="AA627" s="1479"/>
      <c r="AB627" s="1480"/>
      <c r="AC627" s="1382">
        <v>1</v>
      </c>
      <c r="AD627" s="1383"/>
      <c r="AE627" s="1384"/>
      <c r="AF627" s="1492">
        <f>'[1]Data Port'!$G$598</f>
        <v>3817364</v>
      </c>
      <c r="AG627" s="1493"/>
      <c r="AH627" s="1493"/>
      <c r="AI627" s="1493"/>
      <c r="AJ627" s="1494"/>
      <c r="AK627" s="1486">
        <f>'[1]Data Port'!$D$599</f>
        <v>0</v>
      </c>
      <c r="AL627" s="1487"/>
      <c r="AM627" s="1487"/>
      <c r="AN627" s="1488"/>
      <c r="AO627" s="1642">
        <f>ROUND('[1]Data Port'!$G$600,)</f>
        <v>57816376</v>
      </c>
      <c r="AP627" s="1642"/>
      <c r="AQ627" s="1642"/>
      <c r="AR627" s="1642"/>
      <c r="AS627" s="1642"/>
      <c r="AT627" s="3"/>
      <c r="AU627" s="3"/>
      <c r="AZ627" s="3"/>
      <c r="BA627" s="3"/>
      <c r="BB627" s="3"/>
      <c r="BC627" s="3"/>
      <c r="BD627" s="3"/>
    </row>
    <row r="628" spans="2:157" ht="12.95" customHeight="1">
      <c r="B628" s="52" t="s">
        <v>113</v>
      </c>
      <c r="C628" s="1481" t="str">
        <f>'[1]Data Port'!$G$603</f>
        <v>NOI residual from lease-up</v>
      </c>
      <c r="D628" s="1481"/>
      <c r="E628" s="1481"/>
      <c r="F628" s="1481"/>
      <c r="G628" s="1481"/>
      <c r="H628" s="1481"/>
      <c r="I628" s="1481"/>
      <c r="J628" s="1481"/>
      <c r="K628" s="1481"/>
      <c r="L628" s="1481"/>
      <c r="M628" s="1495" t="s">
        <v>1182</v>
      </c>
      <c r="N628" s="1495"/>
      <c r="O628" s="1495"/>
      <c r="P628" s="1495"/>
      <c r="Q628" s="1510">
        <f>'[1]Data Port'!$G$605</f>
        <v>0</v>
      </c>
      <c r="R628" s="1511"/>
      <c r="S628" s="1512"/>
      <c r="T628" s="1510">
        <f>'[1]Data Port'!$G$606</f>
        <v>0</v>
      </c>
      <c r="U628" s="1511"/>
      <c r="V628" s="1512"/>
      <c r="W628" s="1482">
        <f>'[1]Data Port'!$G$607</f>
        <v>0</v>
      </c>
      <c r="X628" s="1483"/>
      <c r="Y628" s="1484"/>
      <c r="Z628" s="1478" t="str">
        <f>'[1]Data Port'!$G$608</f>
        <v>Residual</v>
      </c>
      <c r="AA628" s="1479"/>
      <c r="AB628" s="1480"/>
      <c r="AC628" s="1382"/>
      <c r="AD628" s="1383"/>
      <c r="AE628" s="1384"/>
      <c r="AF628" s="1492"/>
      <c r="AG628" s="1493"/>
      <c r="AH628" s="1493"/>
      <c r="AI628" s="1493"/>
      <c r="AJ628" s="1494"/>
      <c r="AK628" s="1486"/>
      <c r="AL628" s="1487"/>
      <c r="AM628" s="1487"/>
      <c r="AN628" s="1488"/>
      <c r="AO628" s="1477">
        <f>ROUND('[1]Data Port'!$G$612+'[1]Data Port'!$D$1334,)</f>
        <v>150136</v>
      </c>
      <c r="AP628" s="1338"/>
      <c r="AQ628" s="1338"/>
      <c r="AR628" s="1338"/>
      <c r="AS628" s="1339"/>
      <c r="AT628" s="1148" t="str">
        <f>IF(AND(NOT(C627=""),C628="",NOT(C629="")),"!","")</f>
        <v/>
      </c>
      <c r="AU628" s="3"/>
      <c r="AZ628" s="3"/>
      <c r="BA628" s="3"/>
      <c r="BB628" s="3"/>
      <c r="BC628" s="3"/>
      <c r="BD628" s="3"/>
    </row>
    <row r="629" spans="2:157" ht="12.95" customHeight="1">
      <c r="B629" s="52" t="s">
        <v>119</v>
      </c>
      <c r="C629" s="1481" t="str">
        <f>'[1]Data Port'!$G$615</f>
        <v>Deferred Developer Fee</v>
      </c>
      <c r="D629" s="1481"/>
      <c r="E629" s="1481"/>
      <c r="F629" s="1481"/>
      <c r="G629" s="1481"/>
      <c r="H629" s="1481"/>
      <c r="I629" s="1481"/>
      <c r="J629" s="1481"/>
      <c r="K629" s="1481"/>
      <c r="L629" s="1481"/>
      <c r="M629" s="1495" t="s">
        <v>1182</v>
      </c>
      <c r="N629" s="1495"/>
      <c r="O629" s="1495"/>
      <c r="P629" s="1495"/>
      <c r="Q629" s="1510">
        <f>'[1]Data Port'!$G$617</f>
        <v>0</v>
      </c>
      <c r="R629" s="1511"/>
      <c r="S629" s="1512"/>
      <c r="T629" s="1510">
        <f>'[1]Data Port'!$G$618</f>
        <v>0</v>
      </c>
      <c r="U629" s="1511"/>
      <c r="V629" s="1512"/>
      <c r="W629" s="1482">
        <f>'[1]Data Port'!$G$619</f>
        <v>0</v>
      </c>
      <c r="X629" s="1483"/>
      <c r="Y629" s="1484"/>
      <c r="Z629" s="1478" t="str">
        <f>'[1]Data Port'!$G$620</f>
        <v>Residual</v>
      </c>
      <c r="AA629" s="1479"/>
      <c r="AB629" s="1480"/>
      <c r="AC629" s="1382"/>
      <c r="AD629" s="1383"/>
      <c r="AE629" s="1384"/>
      <c r="AF629" s="1492"/>
      <c r="AG629" s="1493"/>
      <c r="AH629" s="1493"/>
      <c r="AI629" s="1493"/>
      <c r="AJ629" s="1494"/>
      <c r="AK629" s="1486"/>
      <c r="AL629" s="1487"/>
      <c r="AM629" s="1487"/>
      <c r="AN629" s="1488"/>
      <c r="AO629" s="1477">
        <f>ROUND('[1]Data Port'!$G$624,)</f>
        <v>10360285</v>
      </c>
      <c r="AP629" s="1338"/>
      <c r="AQ629" s="1338"/>
      <c r="AR629" s="1338"/>
      <c r="AS629" s="1339"/>
      <c r="AT629" s="1148" t="str">
        <f t="shared" ref="AT629:AT638" si="1">IF(AND(NOT(C628=""),C629="",NOT(C630="")),"!","")</f>
        <v/>
      </c>
      <c r="AU629" s="3"/>
      <c r="AZ629" s="3"/>
      <c r="BA629" s="3"/>
      <c r="BB629" s="3"/>
      <c r="BC629" s="3"/>
      <c r="BD629" s="3"/>
    </row>
    <row r="630" spans="2:157" ht="12.95" customHeight="1">
      <c r="B630" s="52" t="s">
        <v>580</v>
      </c>
      <c r="C630" s="1491">
        <f>IF(AO630=0,0,'[1]Data Port'!$G$627)</f>
        <v>0</v>
      </c>
      <c r="D630" s="1491"/>
      <c r="E630" s="1491"/>
      <c r="F630" s="1491"/>
      <c r="G630" s="1491"/>
      <c r="H630" s="1491"/>
      <c r="I630" s="1491"/>
      <c r="J630" s="1491"/>
      <c r="K630" s="1491"/>
      <c r="L630" s="1491"/>
      <c r="M630" s="1495" t="str">
        <f>IF(AO630=0,"(select)",'[1]Data Port'!$G$628)</f>
        <v>(select)</v>
      </c>
      <c r="N630" s="1495"/>
      <c r="O630" s="1495"/>
      <c r="P630" s="1495"/>
      <c r="Q630" s="1510">
        <f>IF(AO630=0,0,'[1]Data Port'!$G$629)</f>
        <v>0</v>
      </c>
      <c r="R630" s="1511"/>
      <c r="S630" s="1512"/>
      <c r="T630" s="1510">
        <f>'[1]Data Port'!$G$630</f>
        <v>0</v>
      </c>
      <c r="U630" s="1511"/>
      <c r="V630" s="1512"/>
      <c r="W630" s="1482">
        <f>IF(AO630=0,0,'[1]Data Port'!$G$631)</f>
        <v>0</v>
      </c>
      <c r="X630" s="1483"/>
      <c r="Y630" s="1484"/>
      <c r="Z630" s="1478" t="str">
        <f>IF(AO630=0,"(select)",'[1]Data Port'!$G$632)</f>
        <v>(select)</v>
      </c>
      <c r="AA630" s="1479"/>
      <c r="AB630" s="1480"/>
      <c r="AC630" s="1382"/>
      <c r="AD630" s="1383"/>
      <c r="AE630" s="1384"/>
      <c r="AF630" s="1492"/>
      <c r="AG630" s="1493"/>
      <c r="AH630" s="1493"/>
      <c r="AI630" s="1493"/>
      <c r="AJ630" s="1494"/>
      <c r="AK630" s="1486"/>
      <c r="AL630" s="1487"/>
      <c r="AM630" s="1487"/>
      <c r="AN630" s="1488"/>
      <c r="AO630" s="1477">
        <f>ROUND('[1]Data Port'!$G$636,)</f>
        <v>0</v>
      </c>
      <c r="AP630" s="1338"/>
      <c r="AQ630" s="1338"/>
      <c r="AR630" s="1338"/>
      <c r="AS630" s="1339"/>
      <c r="AT630" s="1148" t="str">
        <f t="shared" si="1"/>
        <v/>
      </c>
      <c r="AU630" s="3"/>
      <c r="AZ630" s="3"/>
      <c r="BA630" s="3"/>
      <c r="BB630" s="3"/>
      <c r="BC630" s="3"/>
      <c r="BD630" s="3"/>
    </row>
    <row r="631" spans="2:157" ht="12.95" customHeight="1">
      <c r="B631" s="52" t="s">
        <v>762</v>
      </c>
      <c r="C631" s="1491">
        <f>IF(AO631=0,0,'[1]Data Port'!$G$639)</f>
        <v>0</v>
      </c>
      <c r="D631" s="1491"/>
      <c r="E631" s="1491"/>
      <c r="F631" s="1491"/>
      <c r="G631" s="1491"/>
      <c r="H631" s="1491"/>
      <c r="I631" s="1491"/>
      <c r="J631" s="1491"/>
      <c r="K631" s="1491"/>
      <c r="L631" s="1491"/>
      <c r="M631" s="1495" t="str">
        <f>IF(AO631=0,"(select)",'[1]Data Port'!$G$640)</f>
        <v>(select)</v>
      </c>
      <c r="N631" s="1495"/>
      <c r="O631" s="1495"/>
      <c r="P631" s="1495"/>
      <c r="Q631" s="1510">
        <f>IF(AO631=0,0,'[1]Data Port'!$G$641)</f>
        <v>0</v>
      </c>
      <c r="R631" s="1511"/>
      <c r="S631" s="1512"/>
      <c r="T631" s="1510">
        <f>'[1]Data Port'!$G$642</f>
        <v>0</v>
      </c>
      <c r="U631" s="1511"/>
      <c r="V631" s="1512"/>
      <c r="W631" s="1482">
        <f>IF(AO631=0,0,'[1]Data Port'!$G$643)</f>
        <v>0</v>
      </c>
      <c r="X631" s="1483"/>
      <c r="Y631" s="1484"/>
      <c r="Z631" s="1478" t="str">
        <f>IF(AO631=0,"(select)",'[1]Data Port'!$G$644)</f>
        <v>(select)</v>
      </c>
      <c r="AA631" s="1479"/>
      <c r="AB631" s="1480"/>
      <c r="AC631" s="1382"/>
      <c r="AD631" s="1383"/>
      <c r="AE631" s="1384"/>
      <c r="AF631" s="1492"/>
      <c r="AG631" s="1493"/>
      <c r="AH631" s="1493"/>
      <c r="AI631" s="1493"/>
      <c r="AJ631" s="1494"/>
      <c r="AK631" s="1486"/>
      <c r="AL631" s="1487"/>
      <c r="AM631" s="1487"/>
      <c r="AN631" s="1488"/>
      <c r="AO631" s="1477">
        <f>ROUND('[1]Data Port'!$G$648,)</f>
        <v>0</v>
      </c>
      <c r="AP631" s="1338"/>
      <c r="AQ631" s="1338"/>
      <c r="AR631" s="1338"/>
      <c r="AS631" s="1339"/>
      <c r="AT631" s="1148" t="str">
        <f t="shared" si="1"/>
        <v/>
      </c>
      <c r="AU631" s="3"/>
      <c r="AZ631" s="3"/>
      <c r="BA631" s="3"/>
      <c r="BB631" s="3"/>
      <c r="BC631" s="3"/>
      <c r="BD631" s="3"/>
    </row>
    <row r="632" spans="2:157" ht="12.95" customHeight="1">
      <c r="B632" s="52" t="s">
        <v>583</v>
      </c>
      <c r="C632" s="1491">
        <f>'[1]Data Port'!$G$651</f>
        <v>0</v>
      </c>
      <c r="D632" s="1491"/>
      <c r="E632" s="1491"/>
      <c r="F632" s="1491"/>
      <c r="G632" s="1491"/>
      <c r="H632" s="1491"/>
      <c r="I632" s="1491"/>
      <c r="J632" s="1491"/>
      <c r="K632" s="1491"/>
      <c r="L632" s="1491"/>
      <c r="M632" s="1495" t="s">
        <v>1182</v>
      </c>
      <c r="N632" s="1495"/>
      <c r="O632" s="1495"/>
      <c r="P632" s="1495"/>
      <c r="Q632" s="1510">
        <f>'[1]Data Port'!$G$653</f>
        <v>0</v>
      </c>
      <c r="R632" s="1511"/>
      <c r="S632" s="1512"/>
      <c r="T632" s="1510">
        <f>'[1]Data Port'!$G$654</f>
        <v>0</v>
      </c>
      <c r="U632" s="1511"/>
      <c r="V632" s="1512"/>
      <c r="W632" s="1482">
        <f>'[1]Data Port'!$G$655</f>
        <v>0</v>
      </c>
      <c r="X632" s="1483"/>
      <c r="Y632" s="1484"/>
      <c r="Z632" s="1478" t="s">
        <v>1182</v>
      </c>
      <c r="AA632" s="1479"/>
      <c r="AB632" s="1480"/>
      <c r="AC632" s="1382"/>
      <c r="AD632" s="1383"/>
      <c r="AE632" s="1384"/>
      <c r="AF632" s="1492"/>
      <c r="AG632" s="1493"/>
      <c r="AH632" s="1493"/>
      <c r="AI632" s="1493"/>
      <c r="AJ632" s="1494"/>
      <c r="AK632" s="1486"/>
      <c r="AL632" s="1487"/>
      <c r="AM632" s="1487"/>
      <c r="AN632" s="1488"/>
      <c r="AO632" s="1477">
        <f>'[1]Data Port'!$G$660</f>
        <v>0</v>
      </c>
      <c r="AP632" s="1338"/>
      <c r="AQ632" s="1338"/>
      <c r="AR632" s="1338"/>
      <c r="AS632" s="1339"/>
      <c r="AT632" s="1148" t="str">
        <f t="shared" si="1"/>
        <v/>
      </c>
      <c r="AU632" s="3"/>
      <c r="AZ632" s="3"/>
      <c r="BA632" s="3"/>
      <c r="BB632" s="3"/>
      <c r="BC632" s="3"/>
      <c r="BD632" s="3"/>
    </row>
    <row r="633" spans="2:157" ht="12.95" customHeight="1">
      <c r="B633" s="52" t="s">
        <v>454</v>
      </c>
      <c r="C633" s="1491">
        <f>'[1]Data Port'!$G$663</f>
        <v>0</v>
      </c>
      <c r="D633" s="1491"/>
      <c r="E633" s="1491"/>
      <c r="F633" s="1491"/>
      <c r="G633" s="1491"/>
      <c r="H633" s="1491"/>
      <c r="I633" s="1491"/>
      <c r="J633" s="1491"/>
      <c r="K633" s="1491"/>
      <c r="L633" s="1491"/>
      <c r="M633" s="1495" t="s">
        <v>1182</v>
      </c>
      <c r="N633" s="1495"/>
      <c r="O633" s="1495"/>
      <c r="P633" s="1495"/>
      <c r="Q633" s="1510">
        <f>'[1]Data Port'!$G$665</f>
        <v>0</v>
      </c>
      <c r="R633" s="1511"/>
      <c r="S633" s="1512"/>
      <c r="T633" s="1510">
        <f>'[1]Data Port'!$G$666</f>
        <v>0</v>
      </c>
      <c r="U633" s="1511"/>
      <c r="V633" s="1512"/>
      <c r="W633" s="1482">
        <f>'[1]Data Port'!$G$667</f>
        <v>0</v>
      </c>
      <c r="X633" s="1483"/>
      <c r="Y633" s="1484"/>
      <c r="Z633" s="1478" t="s">
        <v>1182</v>
      </c>
      <c r="AA633" s="1479"/>
      <c r="AB633" s="1480"/>
      <c r="AC633" s="1382"/>
      <c r="AD633" s="1383"/>
      <c r="AE633" s="1384"/>
      <c r="AF633" s="1492"/>
      <c r="AG633" s="1493"/>
      <c r="AH633" s="1493"/>
      <c r="AI633" s="1493"/>
      <c r="AJ633" s="1494"/>
      <c r="AK633" s="1486"/>
      <c r="AL633" s="1487"/>
      <c r="AM633" s="1487"/>
      <c r="AN633" s="1488"/>
      <c r="AO633" s="1477">
        <f>'[1]Data Port'!$G$672</f>
        <v>0</v>
      </c>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455</v>
      </c>
      <c r="C634" s="1491">
        <f>'[1]Data Port'!$G$675</f>
        <v>0</v>
      </c>
      <c r="D634" s="1491"/>
      <c r="E634" s="1491"/>
      <c r="F634" s="1491"/>
      <c r="G634" s="1491"/>
      <c r="H634" s="1491"/>
      <c r="I634" s="1491"/>
      <c r="J634" s="1491"/>
      <c r="K634" s="1491"/>
      <c r="L634" s="1491"/>
      <c r="M634" s="1495" t="s">
        <v>1182</v>
      </c>
      <c r="N634" s="1495"/>
      <c r="O634" s="1495"/>
      <c r="P634" s="1495"/>
      <c r="Q634" s="1510">
        <f>'[1]Data Port'!$G$677</f>
        <v>0</v>
      </c>
      <c r="R634" s="1511"/>
      <c r="S634" s="1512"/>
      <c r="T634" s="1510">
        <f>'[1]Data Port'!$G$678</f>
        <v>0</v>
      </c>
      <c r="U634" s="1511"/>
      <c r="V634" s="1512"/>
      <c r="W634" s="1482">
        <f>'[1]Data Port'!$G$679</f>
        <v>0</v>
      </c>
      <c r="X634" s="1483"/>
      <c r="Y634" s="1484"/>
      <c r="Z634" s="1478" t="s">
        <v>1182</v>
      </c>
      <c r="AA634" s="1479"/>
      <c r="AB634" s="1480"/>
      <c r="AC634" s="1382"/>
      <c r="AD634" s="1383"/>
      <c r="AE634" s="1384"/>
      <c r="AF634" s="1492"/>
      <c r="AG634" s="1493"/>
      <c r="AH634" s="1493"/>
      <c r="AI634" s="1493"/>
      <c r="AJ634" s="1494"/>
      <c r="AK634" s="1486"/>
      <c r="AL634" s="1487"/>
      <c r="AM634" s="1487"/>
      <c r="AN634" s="1488"/>
      <c r="AO634" s="1477">
        <f>'[1]Data Port'!$G$684</f>
        <v>0</v>
      </c>
      <c r="AP634" s="1338"/>
      <c r="AQ634" s="1338"/>
      <c r="AR634" s="1338"/>
      <c r="AS634" s="1339"/>
      <c r="AT634" s="1148" t="str">
        <f t="shared" si="1"/>
        <v/>
      </c>
      <c r="AU634" s="3"/>
      <c r="AV634" s="3"/>
      <c r="AW634" s="3"/>
      <c r="AX634" s="3"/>
      <c r="AY634" s="3"/>
      <c r="AZ634" s="3"/>
      <c r="BA634" s="3" t="s">
        <v>1182</v>
      </c>
      <c r="BB634" s="3"/>
      <c r="BC634" s="3"/>
      <c r="BD634" s="3"/>
    </row>
    <row r="635" spans="2:157" ht="12.95" customHeight="1">
      <c r="B635" s="52" t="s">
        <v>460</v>
      </c>
      <c r="C635" s="1491">
        <f>'[1]Data Port'!$G$687</f>
        <v>0</v>
      </c>
      <c r="D635" s="1491"/>
      <c r="E635" s="1491"/>
      <c r="F635" s="1491"/>
      <c r="G635" s="1491"/>
      <c r="H635" s="1491"/>
      <c r="I635" s="1491"/>
      <c r="J635" s="1491"/>
      <c r="K635" s="1491"/>
      <c r="L635" s="1491"/>
      <c r="M635" s="1495" t="s">
        <v>1182</v>
      </c>
      <c r="N635" s="1495"/>
      <c r="O635" s="1495"/>
      <c r="P635" s="1495"/>
      <c r="Q635" s="1510">
        <f>'[1]Data Port'!$G$689</f>
        <v>0</v>
      </c>
      <c r="R635" s="1511"/>
      <c r="S635" s="1512"/>
      <c r="T635" s="1510">
        <f>'[1]Data Port'!$G$690</f>
        <v>0</v>
      </c>
      <c r="U635" s="1511"/>
      <c r="V635" s="1512"/>
      <c r="W635" s="1482">
        <f>'[1]Data Port'!$G$691</f>
        <v>0</v>
      </c>
      <c r="X635" s="1483"/>
      <c r="Y635" s="1484"/>
      <c r="Z635" s="1478" t="s">
        <v>1182</v>
      </c>
      <c r="AA635" s="1479"/>
      <c r="AB635" s="1480"/>
      <c r="AC635" s="1382"/>
      <c r="AD635" s="1383"/>
      <c r="AE635" s="1384"/>
      <c r="AF635" s="1492"/>
      <c r="AG635" s="1493"/>
      <c r="AH635" s="1493"/>
      <c r="AI635" s="1493"/>
      <c r="AJ635" s="1494"/>
      <c r="AK635" s="1486"/>
      <c r="AL635" s="1487"/>
      <c r="AM635" s="1487"/>
      <c r="AN635" s="1488"/>
      <c r="AO635" s="1477">
        <f>'[1]Data Port'!$G$696</f>
        <v>0</v>
      </c>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f t="shared" ref="DX635:DX669" si="2">EZ718*(CP718/$CP$753)</f>
        <v>366.47058823529409</v>
      </c>
      <c r="DY635" s="1370"/>
      <c r="DZ635" s="1370"/>
      <c r="EA635" s="1370"/>
      <c r="EB635" s="1370"/>
      <c r="EC635" s="1370" t="e">
        <f t="shared" ref="EC635:EC669" si="3">FE718*(CU718/$CU$753)</f>
        <v>#VALUE!</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5" customHeight="1">
      <c r="B636" s="52" t="s">
        <v>645</v>
      </c>
      <c r="C636" s="1491">
        <f>'[1]Data Port'!$G$699</f>
        <v>0</v>
      </c>
      <c r="D636" s="1491"/>
      <c r="E636" s="1491"/>
      <c r="F636" s="1491"/>
      <c r="G636" s="1491"/>
      <c r="H636" s="1491"/>
      <c r="I636" s="1491"/>
      <c r="J636" s="1491"/>
      <c r="K636" s="1491"/>
      <c r="L636" s="1491"/>
      <c r="M636" s="1495" t="s">
        <v>1182</v>
      </c>
      <c r="N636" s="1495"/>
      <c r="O636" s="1495"/>
      <c r="P636" s="1495"/>
      <c r="Q636" s="1510">
        <f>'[1]Data Port'!$G$701</f>
        <v>0</v>
      </c>
      <c r="R636" s="1511"/>
      <c r="S636" s="1512"/>
      <c r="T636" s="1510">
        <f>'[1]Data Port'!$G$702</f>
        <v>0</v>
      </c>
      <c r="U636" s="1511"/>
      <c r="V636" s="1512"/>
      <c r="W636" s="1482">
        <f>'[1]Data Port'!$G$703</f>
        <v>0</v>
      </c>
      <c r="X636" s="1483"/>
      <c r="Y636" s="1484"/>
      <c r="Z636" s="1478" t="s">
        <v>1182</v>
      </c>
      <c r="AA636" s="1479"/>
      <c r="AB636" s="1480"/>
      <c r="AC636" s="1382"/>
      <c r="AD636" s="1383"/>
      <c r="AE636" s="1384"/>
      <c r="AF636" s="1492"/>
      <c r="AG636" s="1493"/>
      <c r="AH636" s="1493"/>
      <c r="AI636" s="1493"/>
      <c r="AJ636" s="1494"/>
      <c r="AK636" s="1486"/>
      <c r="AL636" s="1487"/>
      <c r="AM636" s="1487"/>
      <c r="AN636" s="1488"/>
      <c r="AO636" s="1477">
        <f>'[1]Data Port'!$G$708</f>
        <v>0</v>
      </c>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t="e">
        <f t="shared" si="3"/>
        <v>#VALUE!</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5" customHeight="1">
      <c r="B637" s="52" t="s">
        <v>362</v>
      </c>
      <c r="C637" s="1491">
        <f>'[1]Data Port'!$G$711</f>
        <v>0</v>
      </c>
      <c r="D637" s="1491"/>
      <c r="E637" s="1491"/>
      <c r="F637" s="1491"/>
      <c r="G637" s="1491"/>
      <c r="H637" s="1491"/>
      <c r="I637" s="1491"/>
      <c r="J637" s="1491"/>
      <c r="K637" s="1491"/>
      <c r="L637" s="1491"/>
      <c r="M637" s="1495" t="s">
        <v>1182</v>
      </c>
      <c r="N637" s="1495"/>
      <c r="O637" s="1495"/>
      <c r="P637" s="1495"/>
      <c r="Q637" s="1510">
        <f>'[1]Data Port'!$G$713</f>
        <v>0</v>
      </c>
      <c r="R637" s="1511"/>
      <c r="S637" s="1512"/>
      <c r="T637" s="1510">
        <f>'[1]Data Port'!$G$714</f>
        <v>0</v>
      </c>
      <c r="U637" s="1511"/>
      <c r="V637" s="1512"/>
      <c r="W637" s="1482">
        <f>'[1]Data Port'!$G$715</f>
        <v>0</v>
      </c>
      <c r="X637" s="1483"/>
      <c r="Y637" s="1484"/>
      <c r="Z637" s="1478" t="s">
        <v>1182</v>
      </c>
      <c r="AA637" s="1479"/>
      <c r="AB637" s="1480"/>
      <c r="AC637" s="1382"/>
      <c r="AD637" s="1383"/>
      <c r="AE637" s="1384"/>
      <c r="AF637" s="1492"/>
      <c r="AG637" s="1493"/>
      <c r="AH637" s="1493"/>
      <c r="AI637" s="1493"/>
      <c r="AJ637" s="1494"/>
      <c r="AK637" s="1486"/>
      <c r="AL637" s="1487"/>
      <c r="AM637" s="1487"/>
      <c r="AN637" s="1488"/>
      <c r="AO637" s="1477">
        <f>'[1]Data Port'!$G$720</f>
        <v>0</v>
      </c>
      <c r="AP637" s="1338"/>
      <c r="AQ637" s="1338"/>
      <c r="AR637" s="1338"/>
      <c r="AS637" s="1339"/>
      <c r="AT637" s="1148" t="str">
        <f t="shared" si="1"/>
        <v/>
      </c>
      <c r="AV637" s="3"/>
      <c r="AW637" s="3"/>
      <c r="AX637" s="3"/>
      <c r="AY637" s="3"/>
      <c r="AZ637" s="34"/>
      <c r="BA637" s="3" t="s">
        <v>2128</v>
      </c>
      <c r="BB637" s="34"/>
      <c r="BC637" s="34"/>
      <c r="BD637" s="34"/>
      <c r="BE637" s="34"/>
      <c r="BF637" s="34"/>
      <c r="BG637" s="34"/>
      <c r="BH637" s="34"/>
      <c r="BI637" s="34"/>
      <c r="BJ637" s="34"/>
      <c r="BK637" s="34"/>
      <c r="BL637" s="34"/>
      <c r="BM637" s="34"/>
      <c r="DA637" s="3"/>
      <c r="DB637" s="3"/>
      <c r="DC637" s="3"/>
      <c r="DD637" s="3"/>
      <c r="DE637" s="3"/>
      <c r="DF637" s="3"/>
      <c r="DX637" s="1370">
        <f t="shared" si="2"/>
        <v>602.25</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5" customHeight="1">
      <c r="B638" s="52" t="s">
        <v>363</v>
      </c>
      <c r="C638" s="1491">
        <f>'[1]Data Port'!$G$723</f>
        <v>0</v>
      </c>
      <c r="D638" s="1491"/>
      <c r="E638" s="1491"/>
      <c r="F638" s="1491"/>
      <c r="G638" s="1491"/>
      <c r="H638" s="1491"/>
      <c r="I638" s="1491"/>
      <c r="J638" s="1491"/>
      <c r="K638" s="1491"/>
      <c r="L638" s="1491"/>
      <c r="M638" s="1495" t="s">
        <v>1182</v>
      </c>
      <c r="N638" s="1495"/>
      <c r="O638" s="1495"/>
      <c r="P638" s="1495"/>
      <c r="Q638" s="1510">
        <f>'[1]Data Port'!$G$725</f>
        <v>0</v>
      </c>
      <c r="R638" s="1511"/>
      <c r="S638" s="1512"/>
      <c r="T638" s="1510">
        <f>'[1]Data Port'!$G$726</f>
        <v>0</v>
      </c>
      <c r="U638" s="1511"/>
      <c r="V638" s="1512"/>
      <c r="W638" s="1482">
        <f>'[1]Data Port'!$G$727</f>
        <v>0</v>
      </c>
      <c r="X638" s="1483"/>
      <c r="Y638" s="1484"/>
      <c r="Z638" s="1478" t="s">
        <v>1182</v>
      </c>
      <c r="AA638" s="1479"/>
      <c r="AB638" s="1480"/>
      <c r="AC638" s="1382"/>
      <c r="AD638" s="1383"/>
      <c r="AE638" s="1384"/>
      <c r="AF638" s="1492"/>
      <c r="AG638" s="1493"/>
      <c r="AH638" s="1493"/>
      <c r="AI638" s="1493"/>
      <c r="AJ638" s="1494"/>
      <c r="AK638" s="1486"/>
      <c r="AL638" s="1487"/>
      <c r="AM638" s="1487"/>
      <c r="AN638" s="1488"/>
      <c r="AO638" s="1477">
        <f>'[1]Data Port'!$G$732</f>
        <v>0</v>
      </c>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68326797</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5"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f>AM566-AO627-AO628-AO629-AO630-AO631-AO632-AO633-AO634-AO635-AO636-AO637-AO638</f>
        <v>44494941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5" customHeight="1">
      <c r="B641" s="1836"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7"/>
      <c r="AO641" s="1474">
        <f>AO639+AO640</f>
        <v>112821738</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5" customHeight="1">
      <c r="A643" s="55" t="s">
        <v>112</v>
      </c>
      <c r="B643" t="s">
        <v>462</v>
      </c>
      <c r="G643" s="1485" t="str">
        <f>C627</f>
        <v>Keybank (Permanent Loan)</v>
      </c>
      <c r="H643" s="1485"/>
      <c r="I643" s="1485"/>
      <c r="J643" s="1485"/>
      <c r="K643" s="1485"/>
      <c r="L643" s="1485"/>
      <c r="M643" s="1485"/>
      <c r="N643" s="1485"/>
      <c r="O643" s="1485"/>
      <c r="P643" s="1485"/>
      <c r="Q643" s="1485"/>
      <c r="R643" s="1485"/>
      <c r="S643" s="8"/>
      <c r="T643" s="55" t="s">
        <v>113</v>
      </c>
      <c r="U643" t="s">
        <v>462</v>
      </c>
      <c r="Z643" s="1485" t="str">
        <f>C628</f>
        <v>NOI residual from lease-up</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f t="shared" si="3"/>
        <v>11.767857142857142</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5" customHeight="1">
      <c r="A644" s="22"/>
      <c r="B644" t="s">
        <v>85</v>
      </c>
      <c r="G644" s="1409" t="str">
        <f>'[1]Data Port'!$G$737</f>
        <v>1675 Broadway</v>
      </c>
      <c r="H644" s="1409"/>
      <c r="I644" s="1409"/>
      <c r="J644" s="1409"/>
      <c r="K644" s="1409"/>
      <c r="L644" s="1409"/>
      <c r="M644" s="1409"/>
      <c r="N644" s="1409"/>
      <c r="O644" s="1409"/>
      <c r="P644" s="1409"/>
      <c r="Q644" s="1409"/>
      <c r="R644" s="1409"/>
      <c r="S644" s="8"/>
      <c r="T644" s="22"/>
      <c r="U644" t="s">
        <v>85</v>
      </c>
      <c r="Z644" s="1409" t="str">
        <f>'[1]Data Port'!$G$746</f>
        <v>411 2nd Street</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f t="shared" si="3"/>
        <v>1158.5892857142858</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5" customHeight="1">
      <c r="A645" s="22"/>
      <c r="B645" t="s">
        <v>579</v>
      </c>
      <c r="G645" s="1409" t="str">
        <f>'[1]Data Port'!$G$738</f>
        <v>Denver, CO 80202</v>
      </c>
      <c r="H645" s="1409"/>
      <c r="I645" s="1409"/>
      <c r="J645" s="1409"/>
      <c r="K645" s="1409"/>
      <c r="L645" s="1409"/>
      <c r="M645" s="1409"/>
      <c r="N645" s="1409"/>
      <c r="O645" s="1409"/>
      <c r="P645" s="1409"/>
      <c r="Q645" s="1409"/>
      <c r="R645" s="1409"/>
      <c r="T645" s="22"/>
      <c r="U645" t="s">
        <v>579</v>
      </c>
      <c r="Z645" s="1372" t="str">
        <f>'[1]Data Port'!$G$747</f>
        <v>Oakland</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f t="shared" si="3"/>
        <v>504.91071428571428</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5" customHeight="1">
      <c r="A646" s="22"/>
      <c r="B646" t="s">
        <v>17</v>
      </c>
      <c r="G646" s="1409" t="str">
        <f>'[1]Data Port'!$G$739</f>
        <v>Eileen Tran</v>
      </c>
      <c r="H646" s="1409"/>
      <c r="I646" s="1409"/>
      <c r="J646" s="1409"/>
      <c r="K646" s="1409"/>
      <c r="L646" s="1409"/>
      <c r="M646" s="1409"/>
      <c r="N646" s="1409"/>
      <c r="O646" s="1409"/>
      <c r="P646" s="1409"/>
      <c r="Q646" s="1409"/>
      <c r="R646" s="1409"/>
      <c r="S646" s="8"/>
      <c r="T646" s="22"/>
      <c r="U646" t="s">
        <v>17</v>
      </c>
      <c r="Z646" s="1372" t="str">
        <f>'[1]Data Port'!$G$748</f>
        <v>Jeremy Harris</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5" customHeight="1">
      <c r="A647" s="22"/>
      <c r="B647" t="s">
        <v>316</v>
      </c>
      <c r="G647" s="1489" t="str">
        <f>'[1]Data Port'!$G$740</f>
        <v>720.904.4091</v>
      </c>
      <c r="H647" s="1489"/>
      <c r="I647" s="1489"/>
      <c r="J647" s="1489"/>
      <c r="K647" s="1489"/>
      <c r="L647" s="1489"/>
      <c r="O647" s="33" t="s">
        <v>206</v>
      </c>
      <c r="P647" s="1473"/>
      <c r="Q647" s="1473"/>
      <c r="R647" s="1473"/>
      <c r="S647" s="10"/>
      <c r="T647" s="22"/>
      <c r="U647" t="s">
        <v>316</v>
      </c>
      <c r="Z647" s="1489">
        <f>'[1]Data Port'!$G$749</f>
        <v>8584495270</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5" customHeight="1">
      <c r="A648" s="22"/>
      <c r="B648" t="s">
        <v>18</v>
      </c>
      <c r="H648" s="1409" t="str">
        <f>'[1]Data Port'!$G$741</f>
        <v>Tax exempt bonds</v>
      </c>
      <c r="I648" s="1409"/>
      <c r="J648" s="1409"/>
      <c r="K648" s="1409"/>
      <c r="L648" s="1409"/>
      <c r="M648" s="1409"/>
      <c r="N648" s="1409"/>
      <c r="O648" s="1409"/>
      <c r="P648" s="1409"/>
      <c r="Q648" s="1409"/>
      <c r="R648" s="1409"/>
      <c r="S648" s="8"/>
      <c r="T648" s="22"/>
      <c r="U648" t="s">
        <v>18</v>
      </c>
      <c r="AA648" s="1409" t="str">
        <f>'[1]Data Port'!$G$750</f>
        <v>Net Operating Income</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5" customHeight="1">
      <c r="A649" s="22"/>
      <c r="B649" t="s">
        <v>20</v>
      </c>
      <c r="N649" s="1417" t="s">
        <v>544</v>
      </c>
      <c r="O649" s="1417"/>
      <c r="T649" s="22"/>
      <c r="U649" t="s">
        <v>20</v>
      </c>
      <c r="AG649" s="1417" t="str">
        <f>'[1]Data Port'!$G$752</f>
        <v>Yes</v>
      </c>
      <c r="AH649" s="1417"/>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5"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f t="shared" si="4"/>
        <v>228.48</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5" customHeight="1">
      <c r="A651" s="55" t="s">
        <v>119</v>
      </c>
      <c r="B651" t="s">
        <v>462</v>
      </c>
      <c r="G651" s="1485" t="str">
        <f>C629</f>
        <v>Deferred Developer Fee</v>
      </c>
      <c r="H651" s="1485"/>
      <c r="I651" s="1485"/>
      <c r="J651" s="1485"/>
      <c r="K651" s="1485"/>
      <c r="L651" s="1485"/>
      <c r="M651" s="1485"/>
      <c r="N651" s="1485"/>
      <c r="O651" s="1485"/>
      <c r="P651" s="1485"/>
      <c r="Q651" s="1485"/>
      <c r="R651" s="1485"/>
      <c r="T651" s="55" t="s">
        <v>580</v>
      </c>
      <c r="U651" t="s">
        <v>462</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f t="shared" si="4"/>
        <v>1975.6</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5" customHeight="1">
      <c r="A652" s="22"/>
      <c r="B652" t="s">
        <v>85</v>
      </c>
      <c r="G652" s="1409" t="str">
        <f>'[1]Data Port'!$G$755</f>
        <v>411 2nd Street</v>
      </c>
      <c r="H652" s="1409"/>
      <c r="I652" s="1409"/>
      <c r="J652" s="1409"/>
      <c r="K652" s="1409"/>
      <c r="L652" s="1409"/>
      <c r="M652" s="1409"/>
      <c r="N652" s="1409"/>
      <c r="O652" s="1409"/>
      <c r="P652" s="1409"/>
      <c r="Q652" s="1409"/>
      <c r="R652" s="1409"/>
      <c r="T652" s="22"/>
      <c r="U652" t="s">
        <v>85</v>
      </c>
      <c r="Z652" s="1409">
        <f>IF(Z651=0,0,'[1]Data Port'!$G$763)</f>
        <v>0</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5" customHeight="1">
      <c r="A653" s="22"/>
      <c r="B653" t="s">
        <v>579</v>
      </c>
      <c r="G653" s="1372" t="str">
        <f>'[1]Data Port'!$G$756</f>
        <v>Oakland</v>
      </c>
      <c r="H653" s="1372"/>
      <c r="I653" s="1372"/>
      <c r="J653" s="1372"/>
      <c r="K653" s="1372"/>
      <c r="L653" s="1372"/>
      <c r="M653" s="1372"/>
      <c r="N653" s="1372"/>
      <c r="O653" s="1372"/>
      <c r="P653" s="1372"/>
      <c r="Q653" s="1372"/>
      <c r="R653" s="1372"/>
      <c r="T653" s="22"/>
      <c r="U653" t="s">
        <v>579</v>
      </c>
      <c r="Z653" s="1372">
        <f>IF(Z651=0,0,'[1]Data Port'!$G$764)</f>
        <v>0</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5" customHeight="1">
      <c r="A654" s="22"/>
      <c r="B654" t="s">
        <v>17</v>
      </c>
      <c r="G654" s="1372" t="str">
        <f>'[1]Data Port'!$G$757</f>
        <v>Jeremy Harris</v>
      </c>
      <c r="H654" s="1372"/>
      <c r="I654" s="1372"/>
      <c r="J654" s="1372"/>
      <c r="K654" s="1372"/>
      <c r="L654" s="1372"/>
      <c r="M654" s="1372"/>
      <c r="N654" s="1372"/>
      <c r="O654" s="1372"/>
      <c r="P654" s="1372"/>
      <c r="Q654" s="1372"/>
      <c r="R654" s="1372"/>
      <c r="T654" s="22"/>
      <c r="U654" t="s">
        <v>17</v>
      </c>
      <c r="Z654" s="1372">
        <f>IF(Z651=0,0,'[1]Data Port'!$G$765)</f>
        <v>0</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5" customHeight="1">
      <c r="A655" s="22"/>
      <c r="B655" t="s">
        <v>316</v>
      </c>
      <c r="G655" s="1489">
        <f>'[1]Data Port'!$G$758</f>
        <v>8584495270</v>
      </c>
      <c r="H655" s="1489"/>
      <c r="I655" s="1489"/>
      <c r="J655" s="1489"/>
      <c r="K655" s="1489"/>
      <c r="L655" s="1489"/>
      <c r="O655" s="33" t="s">
        <v>206</v>
      </c>
      <c r="P655" s="1473"/>
      <c r="Q655" s="1473"/>
      <c r="R655" s="1473"/>
      <c r="T655" s="22"/>
      <c r="U655" t="s">
        <v>316</v>
      </c>
      <c r="Z655" s="1489">
        <f>IF(Z651=0,0,'[1]Data Port'!$G$766)</f>
        <v>0</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5" customHeight="1">
      <c r="A656" s="22"/>
      <c r="B656" t="s">
        <v>18</v>
      </c>
      <c r="H656" s="1409" t="str">
        <f>'[1]Data Port'!$G$759</f>
        <v>Deferred Development Fee</v>
      </c>
      <c r="I656" s="1409"/>
      <c r="J656" s="1409"/>
      <c r="K656" s="1409"/>
      <c r="L656" s="1409"/>
      <c r="M656" s="1409"/>
      <c r="N656" s="1409"/>
      <c r="O656" s="1409"/>
      <c r="P656" s="1409"/>
      <c r="Q656" s="1409"/>
      <c r="R656" s="1409"/>
      <c r="T656" s="22"/>
      <c r="U656" t="s">
        <v>18</v>
      </c>
      <c r="AA656" s="1409">
        <f>IF(Z651=0,0,'[1]Data Port'!$G$767)</f>
        <v>0</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5" customHeight="1">
      <c r="A657" s="22"/>
      <c r="B657" t="s">
        <v>20</v>
      </c>
      <c r="N657" s="1417" t="str">
        <f>'[1]Data Port'!$G$760</f>
        <v>Yes</v>
      </c>
      <c r="O657" s="1417"/>
      <c r="T657" s="22"/>
      <c r="U657" t="s">
        <v>20</v>
      </c>
      <c r="AG657" s="1417" t="str">
        <f>IF(Z651=0,"No",'[1]Data Port'!$G$768)</f>
        <v>No</v>
      </c>
      <c r="AH657" s="1417"/>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5"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5" customHeight="1">
      <c r="A659" s="55" t="s">
        <v>762</v>
      </c>
      <c r="B659" t="s">
        <v>462</v>
      </c>
      <c r="G659" s="1485">
        <f>C631</f>
        <v>0</v>
      </c>
      <c r="H659" s="1485"/>
      <c r="I659" s="1485"/>
      <c r="J659" s="1485"/>
      <c r="K659" s="1485"/>
      <c r="L659" s="1485"/>
      <c r="M659" s="1485"/>
      <c r="N659" s="1485"/>
      <c r="O659" s="1485"/>
      <c r="P659" s="1485"/>
      <c r="Q659" s="1485"/>
      <c r="R659" s="1485"/>
      <c r="T659" s="55" t="s">
        <v>583</v>
      </c>
      <c r="U659" t="s">
        <v>462</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5" customHeight="1">
      <c r="A660" s="22"/>
      <c r="B660" t="s">
        <v>85</v>
      </c>
      <c r="G660" s="1409">
        <f>IF(G659=0,0,'[1]Data Port'!$D$771)</f>
        <v>0</v>
      </c>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5" customHeight="1">
      <c r="A661" s="22"/>
      <c r="B661" t="s">
        <v>579</v>
      </c>
      <c r="G661" s="1409">
        <f>IF(G659=0,0,'[1]Data Port'!$D$772)</f>
        <v>0</v>
      </c>
      <c r="H661" s="1409"/>
      <c r="I661" s="1409"/>
      <c r="J661" s="1409"/>
      <c r="K661" s="1409"/>
      <c r="L661" s="1409"/>
      <c r="M661" s="1409"/>
      <c r="N661" s="1409"/>
      <c r="O661" s="1409"/>
      <c r="P661" s="1409"/>
      <c r="Q661" s="1409"/>
      <c r="R661" s="1409"/>
      <c r="T661" s="22"/>
      <c r="U661" t="s">
        <v>579</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5" customHeight="1">
      <c r="A662" s="22"/>
      <c r="B662" t="s">
        <v>17</v>
      </c>
      <c r="G662" s="1409">
        <f>IF(G659=0,0,'[1]Data Port'!$D$773)</f>
        <v>0</v>
      </c>
      <c r="H662" s="1409"/>
      <c r="I662" s="1409"/>
      <c r="J662" s="1409"/>
      <c r="K662" s="1409"/>
      <c r="L662" s="1409"/>
      <c r="M662" s="1409"/>
      <c r="N662" s="1409"/>
      <c r="O662" s="1409"/>
      <c r="P662" s="1409"/>
      <c r="Q662" s="1409"/>
      <c r="R662" s="1409"/>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5" customHeight="1">
      <c r="A663" s="22"/>
      <c r="B663" t="s">
        <v>316</v>
      </c>
      <c r="G663" s="1489">
        <f>IF(G659=0,0,'[1]Data Port'!$D$774)</f>
        <v>0</v>
      </c>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5" customHeight="1">
      <c r="A664" s="22"/>
      <c r="B664" t="s">
        <v>18</v>
      </c>
      <c r="H664" s="1409">
        <f>IF(G659=0,0,'[1]Data Port'!$D$775)</f>
        <v>0</v>
      </c>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5" customHeight="1">
      <c r="A665" s="22"/>
      <c r="B665" t="s">
        <v>20</v>
      </c>
      <c r="N665" s="1417" t="str">
        <f>IF(G659=0,"No",'[1]Data Port'!$D$776)</f>
        <v>No</v>
      </c>
      <c r="O665" s="1417"/>
      <c r="T665" s="22"/>
      <c r="U665" t="s">
        <v>20</v>
      </c>
      <c r="AG665" s="1417" t="s">
        <v>668</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5" customHeight="1">
      <c r="A667" s="55" t="s">
        <v>454</v>
      </c>
      <c r="B667" t="s">
        <v>462</v>
      </c>
      <c r="G667" s="1485">
        <f>C633</f>
        <v>0</v>
      </c>
      <c r="H667" s="1485"/>
      <c r="I667" s="1485"/>
      <c r="J667" s="1485"/>
      <c r="K667" s="1485"/>
      <c r="L667" s="1485"/>
      <c r="M667" s="1485"/>
      <c r="N667" s="1485"/>
      <c r="O667" s="1485"/>
      <c r="P667" s="1485"/>
      <c r="Q667" s="1485"/>
      <c r="R667" s="1485"/>
      <c r="T667" s="55" t="s">
        <v>455</v>
      </c>
      <c r="U667" t="s">
        <v>462</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5"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5" customHeight="1">
      <c r="A669" s="22"/>
      <c r="B669" t="s">
        <v>579</v>
      </c>
      <c r="G669" s="1409"/>
      <c r="H669" s="1409"/>
      <c r="I669" s="1409"/>
      <c r="J669" s="1409"/>
      <c r="K669" s="1409"/>
      <c r="L669" s="1409"/>
      <c r="M669" s="1409"/>
      <c r="N669" s="1409"/>
      <c r="O669" s="1409"/>
      <c r="P669" s="1409"/>
      <c r="Q669" s="1409"/>
      <c r="R669" s="1409"/>
      <c r="T669" s="22"/>
      <c r="U669" t="s">
        <v>579</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5" customHeight="1">
      <c r="A670" s="22"/>
      <c r="B670" t="s">
        <v>17</v>
      </c>
      <c r="G670" s="1409"/>
      <c r="H670" s="1409"/>
      <c r="I670" s="1409"/>
      <c r="J670" s="1409"/>
      <c r="K670" s="1409"/>
      <c r="L670" s="1409"/>
      <c r="M670" s="1409"/>
      <c r="N670" s="1409"/>
      <c r="O670" s="1409"/>
      <c r="P670" s="1409"/>
      <c r="Q670" s="1409"/>
      <c r="R670" s="1409"/>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968.72058823529414</v>
      </c>
      <c r="DY670" s="1370"/>
      <c r="DZ670" s="1370"/>
      <c r="EA670" s="1370"/>
      <c r="EB670" s="1370"/>
      <c r="EC670" s="1370">
        <f>SUMIF(EC635:EG669,"&gt;0")</f>
        <v>1675.2678571428571</v>
      </c>
      <c r="ED670" s="1370"/>
      <c r="EE670" s="1370"/>
      <c r="EF670" s="1370"/>
      <c r="EG670" s="1370"/>
      <c r="EH670" s="1370">
        <f>SUMIF(EH635:EL669,"&gt;0")</f>
        <v>2204.08</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7" t="s">
        <v>668</v>
      </c>
      <c r="O673" s="1417"/>
      <c r="T673" s="22"/>
      <c r="U673" t="s">
        <v>20</v>
      </c>
      <c r="AG673" s="1417" t="s">
        <v>668</v>
      </c>
      <c r="AH673" s="1417"/>
      <c r="AZ673" s="3"/>
    </row>
    <row r="674" spans="1:52" ht="12.95" customHeight="1">
      <c r="A674" s="22"/>
      <c r="T674" s="22"/>
      <c r="AZ674" s="3"/>
    </row>
    <row r="675" spans="1:52" ht="12.95" customHeight="1">
      <c r="A675" s="55" t="s">
        <v>460</v>
      </c>
      <c r="B675" t="s">
        <v>462</v>
      </c>
      <c r="G675" s="1485">
        <f>C635</f>
        <v>0</v>
      </c>
      <c r="H675" s="1485"/>
      <c r="I675" s="1485"/>
      <c r="J675" s="1485"/>
      <c r="K675" s="1485"/>
      <c r="L675" s="1485"/>
      <c r="M675" s="1485"/>
      <c r="N675" s="1485"/>
      <c r="O675" s="1485"/>
      <c r="P675" s="1485"/>
      <c r="Q675" s="1485"/>
      <c r="R675" s="1485"/>
      <c r="T675" s="55" t="s">
        <v>645</v>
      </c>
      <c r="U675" t="s">
        <v>462</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2.95" customHeight="1">
      <c r="A677" s="22"/>
      <c r="B677" t="s">
        <v>579</v>
      </c>
      <c r="G677" s="1409"/>
      <c r="H677" s="1409"/>
      <c r="I677" s="1409"/>
      <c r="J677" s="1409"/>
      <c r="K677" s="1409"/>
      <c r="L677" s="1409"/>
      <c r="M677" s="1409"/>
      <c r="N677" s="1409"/>
      <c r="O677" s="1409"/>
      <c r="P677" s="1409"/>
      <c r="Q677" s="1409"/>
      <c r="R677" s="1409"/>
      <c r="T677" s="22"/>
      <c r="U677" t="s">
        <v>579</v>
      </c>
      <c r="Z677" s="1372"/>
      <c r="AA677" s="1372"/>
      <c r="AB677" s="1372"/>
      <c r="AC677" s="1372"/>
      <c r="AD677" s="1372"/>
      <c r="AE677" s="1372"/>
      <c r="AF677" s="1372"/>
      <c r="AG677" s="1372"/>
      <c r="AH677" s="1372"/>
      <c r="AI677" s="1372"/>
      <c r="AJ677" s="1372"/>
      <c r="AK677" s="1372"/>
      <c r="AZ677" s="3"/>
    </row>
    <row r="678" spans="1:52" ht="12.95" customHeight="1">
      <c r="A678" s="22"/>
      <c r="B678" t="s">
        <v>17</v>
      </c>
      <c r="G678" s="1409"/>
      <c r="H678" s="1409"/>
      <c r="I678" s="1409"/>
      <c r="J678" s="1409"/>
      <c r="K678" s="1409"/>
      <c r="L678" s="1409"/>
      <c r="M678" s="1409"/>
      <c r="N678" s="1409"/>
      <c r="O678" s="1409"/>
      <c r="P678" s="1409"/>
      <c r="Q678" s="1409"/>
      <c r="R678" s="1409"/>
      <c r="T678" s="22"/>
      <c r="U678" t="s">
        <v>17</v>
      </c>
      <c r="Z678" s="1372"/>
      <c r="AA678" s="1372"/>
      <c r="AB678" s="1372"/>
      <c r="AC678" s="1372"/>
      <c r="AD678" s="1372"/>
      <c r="AE678" s="1372"/>
      <c r="AF678" s="1372"/>
      <c r="AG678" s="1372"/>
      <c r="AH678" s="1372"/>
      <c r="AI678" s="1372"/>
      <c r="AJ678" s="1372"/>
      <c r="AK678" s="1372"/>
      <c r="AZ678" s="3"/>
    </row>
    <row r="679" spans="1:52" ht="12.9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5"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2.95" customHeight="1">
      <c r="A681" s="22"/>
      <c r="B681" t="s">
        <v>20</v>
      </c>
      <c r="N681" s="1417" t="s">
        <v>668</v>
      </c>
      <c r="O681" s="1417"/>
      <c r="T681" s="22"/>
      <c r="U681" t="s">
        <v>20</v>
      </c>
      <c r="AG681" s="1417" t="s">
        <v>668</v>
      </c>
      <c r="AH681" s="1417"/>
      <c r="AZ681" s="3"/>
    </row>
    <row r="682" spans="1:52" ht="12.95" customHeight="1">
      <c r="A682" s="22"/>
      <c r="T682" s="22"/>
      <c r="AZ682" s="3"/>
    </row>
    <row r="683" spans="1:52" ht="12.95" customHeight="1">
      <c r="A683" s="55" t="s">
        <v>362</v>
      </c>
      <c r="B683" t="s">
        <v>462</v>
      </c>
      <c r="G683" s="1485">
        <f>C637</f>
        <v>0</v>
      </c>
      <c r="H683" s="1485"/>
      <c r="I683" s="1485"/>
      <c r="J683" s="1485"/>
      <c r="K683" s="1485"/>
      <c r="L683" s="1485"/>
      <c r="M683" s="1485"/>
      <c r="N683" s="1485"/>
      <c r="O683" s="1485"/>
      <c r="P683" s="1485"/>
      <c r="Q683" s="1485"/>
      <c r="R683" s="1485"/>
      <c r="T683" s="55" t="s">
        <v>363</v>
      </c>
      <c r="U683" t="s">
        <v>462</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2.95" customHeight="1">
      <c r="B685" t="s">
        <v>579</v>
      </c>
      <c r="G685" s="1409"/>
      <c r="H685" s="1409"/>
      <c r="I685" s="1409"/>
      <c r="J685" s="1409"/>
      <c r="K685" s="1409"/>
      <c r="L685" s="1409"/>
      <c r="M685" s="1409"/>
      <c r="N685" s="1409"/>
      <c r="O685" s="1409"/>
      <c r="P685" s="1409"/>
      <c r="Q685" s="1409"/>
      <c r="R685" s="1409"/>
      <c r="U685" t="s">
        <v>579</v>
      </c>
      <c r="Z685" s="1372"/>
      <c r="AA685" s="1372"/>
      <c r="AB685" s="1372"/>
      <c r="AC685" s="1372"/>
      <c r="AD685" s="1372"/>
      <c r="AE685" s="1372"/>
      <c r="AF685" s="1372"/>
      <c r="AG685" s="1372"/>
      <c r="AH685" s="1372"/>
      <c r="AI685" s="1372"/>
      <c r="AJ685" s="1372"/>
      <c r="AK685" s="1372"/>
      <c r="AZ685" s="3"/>
    </row>
    <row r="686" spans="1:52" ht="12.95" customHeight="1">
      <c r="B686" t="s">
        <v>17</v>
      </c>
      <c r="G686" s="1409"/>
      <c r="H686" s="1409"/>
      <c r="I686" s="1409"/>
      <c r="J686" s="1409"/>
      <c r="K686" s="1409"/>
      <c r="L686" s="1409"/>
      <c r="M686" s="1409"/>
      <c r="N686" s="1409"/>
      <c r="O686" s="1409"/>
      <c r="P686" s="1409"/>
      <c r="Q686" s="1409"/>
      <c r="R686" s="1409"/>
      <c r="U686" t="s">
        <v>17</v>
      </c>
      <c r="Z686" s="1372"/>
      <c r="AA686" s="1372"/>
      <c r="AB686" s="1372"/>
      <c r="AC686" s="1372"/>
      <c r="AD686" s="1372"/>
      <c r="AE686" s="1372"/>
      <c r="AF686" s="1372"/>
      <c r="AG686" s="1372"/>
      <c r="AH686" s="1372"/>
      <c r="AI686" s="1372"/>
      <c r="AJ686" s="1372"/>
      <c r="AK686" s="1372"/>
      <c r="AZ686" s="3"/>
    </row>
    <row r="687" spans="1:52" ht="12.9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2.95" customHeight="1">
      <c r="B689" t="s">
        <v>20</v>
      </c>
      <c r="N689" s="1417" t="s">
        <v>668</v>
      </c>
      <c r="O689" s="1417"/>
      <c r="U689" t="s">
        <v>20</v>
      </c>
      <c r="AG689" s="1417" t="s">
        <v>668</v>
      </c>
      <c r="AH689" s="1417"/>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7" t="str">
        <f>'[1]Data Port'!$G$834</f>
        <v>No</v>
      </c>
      <c r="AF693" s="1417"/>
      <c r="AZ693" s="3"/>
    </row>
    <row r="694" spans="1:67" ht="12.95" customHeight="1">
      <c r="B694" s="135"/>
      <c r="C694" s="135"/>
      <c r="D694" s="136" t="s">
        <v>437</v>
      </c>
      <c r="E694" s="135"/>
      <c r="F694" s="135"/>
      <c r="G694" s="135"/>
      <c r="H694" s="135"/>
      <c r="AE694" s="1417" t="str">
        <f>'[1]Data Port'!$G$835</f>
        <v>No</v>
      </c>
      <c r="AF694" s="1417"/>
      <c r="AZ694" s="3"/>
    </row>
    <row r="695" spans="1:67" ht="12.95" customHeight="1">
      <c r="B695" s="135"/>
      <c r="C695" s="135"/>
      <c r="D695" s="136" t="s">
        <v>919</v>
      </c>
      <c r="E695" s="135"/>
      <c r="F695" s="135"/>
      <c r="G695" s="135"/>
      <c r="H695" s="135"/>
      <c r="AE695" s="1508">
        <f>'[1]Data Port'!$G$836</f>
        <v>46160</v>
      </c>
      <c r="AF695" s="1508"/>
      <c r="AG695" s="1508"/>
      <c r="AH695" s="1508"/>
      <c r="AI695" s="1508"/>
    </row>
    <row r="696" spans="1:67" ht="12.95" customHeight="1">
      <c r="B696" s="135"/>
      <c r="C696" s="135"/>
      <c r="D696" s="317" t="s">
        <v>981</v>
      </c>
      <c r="E696" s="135"/>
      <c r="F696" s="135"/>
      <c r="G696" s="135"/>
      <c r="H696" s="135"/>
      <c r="AE696" s="1669">
        <f>'[1]Data Port'!$G$837</f>
        <v>45980</v>
      </c>
      <c r="AF696" s="1669"/>
      <c r="AG696" s="1669"/>
      <c r="AH696" s="1669"/>
      <c r="AI696" s="1669"/>
    </row>
    <row r="697" spans="1:67" ht="12.95" customHeight="1">
      <c r="B697" s="135"/>
      <c r="C697" s="135"/>
    </row>
    <row r="698" spans="1:67" ht="12.95" customHeight="1">
      <c r="B698" s="135"/>
      <c r="C698" s="135"/>
      <c r="D698" s="136" t="s">
        <v>815</v>
      </c>
      <c r="E698" s="135"/>
      <c r="F698" s="135"/>
      <c r="G698" s="135"/>
      <c r="H698" s="135"/>
      <c r="AE698" s="1508">
        <f>'[1]Data Port'!$G$838</f>
        <v>46160</v>
      </c>
      <c r="AF698" s="1508"/>
      <c r="AG698" s="1508"/>
      <c r="AH698" s="1508"/>
      <c r="AI698" s="1508"/>
    </row>
    <row r="699" spans="1:67" ht="12.95" customHeight="1">
      <c r="B699" s="135"/>
      <c r="C699" s="135"/>
      <c r="D699" s="136" t="s">
        <v>435</v>
      </c>
      <c r="E699" s="135"/>
      <c r="F699" s="135"/>
      <c r="G699" s="135"/>
      <c r="H699" s="135"/>
      <c r="AE699" s="1689">
        <f>'[1]Data Port'!$G$839</f>
        <v>0.27500000000000002</v>
      </c>
      <c r="AF699" s="1689"/>
      <c r="AG699" s="1689"/>
      <c r="AH699" s="1689"/>
      <c r="AI699" s="1689"/>
    </row>
    <row r="700" spans="1:67" ht="12.95" customHeight="1">
      <c r="B700" s="135"/>
      <c r="C700" s="135"/>
      <c r="D700" s="136" t="s">
        <v>436</v>
      </c>
      <c r="E700" s="135"/>
      <c r="F700" s="135"/>
      <c r="G700" s="135"/>
      <c r="H700" s="135"/>
      <c r="W700" s="1485">
        <f>H335</f>
        <v>0</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7" t="s">
        <v>668</v>
      </c>
      <c r="AF702" s="1417"/>
      <c r="AZ702" s="4" t="s">
        <v>324</v>
      </c>
    </row>
    <row r="703" spans="1:67" ht="12.95" customHeight="1">
      <c r="B703" s="135"/>
      <c r="C703" s="135"/>
      <c r="D703" s="136" t="s">
        <v>441</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2.9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2.95"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388</v>
      </c>
      <c r="C714" s="1497"/>
      <c r="D714" s="1497"/>
      <c r="E714" s="1497"/>
      <c r="F714" s="1498"/>
      <c r="G714" s="1496" t="s">
        <v>285</v>
      </c>
      <c r="H714" s="1497"/>
      <c r="I714" s="1497"/>
      <c r="J714" s="1498"/>
      <c r="K714" s="1513" t="s">
        <v>1677</v>
      </c>
      <c r="L714" s="1514"/>
      <c r="M714" s="1514"/>
      <c r="N714" s="1515"/>
      <c r="O714" s="1496" t="s">
        <v>446</v>
      </c>
      <c r="P714" s="1497"/>
      <c r="Q714" s="1497"/>
      <c r="R714" s="1497"/>
      <c r="S714" s="1498"/>
      <c r="T714" s="1509" t="s">
        <v>1947</v>
      </c>
      <c r="U714" s="1497"/>
      <c r="V714" s="1497"/>
      <c r="W714" s="1498"/>
      <c r="X714" s="1509" t="s">
        <v>1949</v>
      </c>
      <c r="Y714" s="1497"/>
      <c r="Z714" s="1497"/>
      <c r="AA714" s="1497"/>
      <c r="AB714" s="1498"/>
      <c r="AC714" s="1509" t="s">
        <v>1948</v>
      </c>
      <c r="AD714" s="1497"/>
      <c r="AE714" s="1497"/>
      <c r="AF714" s="1497"/>
      <c r="AG714" s="1498"/>
      <c r="AH714" s="1509" t="s">
        <v>1950</v>
      </c>
      <c r="AI714" s="1497"/>
      <c r="AJ714" s="1498"/>
      <c r="AK714" s="1509" t="s">
        <v>1977</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5"/>
      <c r="CJ717" s="1337"/>
      <c r="CK717" s="121" t="s">
        <v>474</v>
      </c>
      <c r="CL717" s="122"/>
      <c r="CM717" s="1335"/>
      <c r="CN717" s="1337"/>
      <c r="CO717" s="3"/>
      <c r="CP717" s="1799" t="s">
        <v>632</v>
      </c>
      <c r="CQ717" s="1800"/>
      <c r="CR717" s="1800"/>
      <c r="CS717" s="1800"/>
      <c r="CT717" s="1801"/>
      <c r="CU717" s="1490" t="s">
        <v>325</v>
      </c>
      <c r="CV717" s="1490"/>
      <c r="CW717" s="1490"/>
      <c r="CX717" s="1490"/>
      <c r="CY717" s="1490"/>
      <c r="CZ717" s="1490" t="s">
        <v>163</v>
      </c>
      <c r="DA717" s="1490"/>
      <c r="DB717" s="1490"/>
      <c r="DC717" s="1490"/>
      <c r="DD717" s="1490"/>
      <c r="DE717" s="1490" t="s">
        <v>164</v>
      </c>
      <c r="DF717" s="1490"/>
      <c r="DG717" s="1490"/>
      <c r="DH717" s="1490"/>
      <c r="DI717" s="1490"/>
      <c r="DJ717" s="1490" t="s">
        <v>459</v>
      </c>
      <c r="DK717" s="1490"/>
      <c r="DL717" s="1490"/>
      <c r="DM717" s="1490"/>
      <c r="DN717" s="1490"/>
      <c r="DO717" s="1490" t="s">
        <v>30</v>
      </c>
      <c r="DP717" s="1490"/>
      <c r="DQ717" s="1490"/>
      <c r="DR717" s="1490"/>
      <c r="DS717" s="1490"/>
      <c r="DT717" s="89"/>
      <c r="DU717" s="1490" t="s">
        <v>632</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459</v>
      </c>
      <c r="EP717" s="1490"/>
      <c r="EQ717" s="1490"/>
      <c r="ER717" s="1490"/>
      <c r="ES717" s="1490"/>
      <c r="ET717" s="1490" t="s">
        <v>30</v>
      </c>
      <c r="EU717" s="1490"/>
      <c r="EV717" s="1490"/>
      <c r="EW717" s="1490"/>
      <c r="EX717" s="1490"/>
      <c r="EY717" s="4"/>
      <c r="EZ717" s="1490" t="s">
        <v>632</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459</v>
      </c>
      <c r="FU717" s="1490"/>
      <c r="FV717" s="1490"/>
      <c r="FW717" s="1490"/>
      <c r="FX717" s="1490"/>
      <c r="FY717" s="1490" t="s">
        <v>30</v>
      </c>
      <c r="FZ717" s="1490"/>
      <c r="GA717" s="1490"/>
      <c r="GB717" s="1490"/>
      <c r="GC717" s="1490"/>
    </row>
    <row r="718" spans="1:185" ht="12.95" customHeight="1">
      <c r="A718" s="4"/>
      <c r="B718" s="1355" t="str">
        <f>'[1]Data Port'!$G$847</f>
        <v>SRO/Studio</v>
      </c>
      <c r="C718" s="1356"/>
      <c r="D718" s="1356"/>
      <c r="E718" s="1356"/>
      <c r="F718" s="1357"/>
      <c r="G718" s="1364">
        <f>'[1]Data Port'!$G$848</f>
        <v>35</v>
      </c>
      <c r="H718" s="1365"/>
      <c r="I718" s="1365"/>
      <c r="J718" s="1366"/>
      <c r="K718" s="1608">
        <f>'[1]Data Port'!$G$849</f>
        <v>331</v>
      </c>
      <c r="L718" s="1609"/>
      <c r="M718" s="1609"/>
      <c r="N718" s="1610"/>
      <c r="O718" s="1470">
        <f>'[1]Data Port'!$G$850</f>
        <v>712</v>
      </c>
      <c r="P718" s="1471"/>
      <c r="Q718" s="1471"/>
      <c r="R718" s="1471"/>
      <c r="S718" s="1472"/>
      <c r="T718" s="1470">
        <f>IF(G718=0,0,'[1]Data Port'!$D$851)</f>
        <v>83</v>
      </c>
      <c r="U718" s="1471"/>
      <c r="V718" s="1471"/>
      <c r="W718" s="1472"/>
      <c r="X718" s="1358">
        <f t="shared" ref="X718:X741" si="8">O718+T718</f>
        <v>795</v>
      </c>
      <c r="Y718" s="1359"/>
      <c r="Z718" s="1359"/>
      <c r="AA718" s="1359"/>
      <c r="AB718" s="1360"/>
      <c r="AC718" s="1617">
        <f>IF(G718=0,0,'[1]Data Port'!$D$852)</f>
        <v>0.3</v>
      </c>
      <c r="AD718" s="1618"/>
      <c r="AE718" s="1618"/>
      <c r="AF718" s="1618"/>
      <c r="AG718" s="1619"/>
      <c r="AH718" s="1361">
        <f>IF($AC718&gt;0,($X718/$AZ718), "")</f>
        <v>0.3</v>
      </c>
      <c r="AI718" s="1362"/>
      <c r="AJ718" s="1363"/>
      <c r="AK718" s="1355" t="s">
        <v>590</v>
      </c>
      <c r="AL718" s="1356"/>
      <c r="AM718" s="1356"/>
      <c r="AN718" s="1356"/>
      <c r="AO718" s="1357"/>
      <c r="AP718" s="3"/>
      <c r="AQ718" s="3"/>
      <c r="AR718" s="3"/>
      <c r="AS718" s="3"/>
      <c r="AZ718" s="118">
        <f t="shared" ref="AZ718:AZ752" si="9">IF($G718=0,"N/A",VLOOKUP($T$189,TC_Rent,(MATCH($B718,bedrooms,FALSE)),FALSE))</f>
        <v>2650</v>
      </c>
      <c r="BA718" s="3"/>
      <c r="BB718" s="3"/>
      <c r="BC718" s="3"/>
      <c r="BD718" s="3"/>
      <c r="BE718" s="204"/>
      <c r="BF718" s="293">
        <f t="shared" ref="BF718:BF752" si="10">G718</f>
        <v>35</v>
      </c>
      <c r="BG718" s="297">
        <f t="shared" ref="BG718:BG752" si="11">IF($BF$753=0,0,BF718/$BF$753)</f>
        <v>0.1023391812865497</v>
      </c>
      <c r="BH718" s="298">
        <f t="shared" ref="BH718:BH752" si="12">IF(BG718=0,"",BG718*AC718)</f>
        <v>3.0701754385964911E-2</v>
      </c>
      <c r="BI718" s="3"/>
      <c r="BJ718" s="3"/>
      <c r="BK718" s="3"/>
      <c r="BL718" s="3"/>
      <c r="BM718" s="3"/>
      <c r="BN718" s="3"/>
      <c r="BS718" s="293">
        <f t="shared" ref="BS718:BS752" si="13">G718</f>
        <v>35</v>
      </c>
      <c r="BT718" s="297">
        <f t="shared" ref="BT718:BT752" si="14">IF($BS$753=0,0,BS718/$BS$753)</f>
        <v>0.1023391812865497</v>
      </c>
      <c r="BU718" s="298">
        <f t="shared" ref="BU718:BU752" si="15">IF(BT718=0,"",BT718*AH718)</f>
        <v>3.0701754385964911E-2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35</v>
      </c>
      <c r="CN718" s="1337"/>
      <c r="CO718" s="3"/>
      <c r="CP718" s="1332">
        <f t="shared" ref="CP718:CP752" si="18">IF(B718="SRO/Studio",G718,0)</f>
        <v>35</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9">
        <f t="shared" ref="DU718:DU752" si="24">IF(AND(B718="SRO/Studio",AC718&lt;=0.3),G718,0)</f>
        <v>35</v>
      </c>
      <c r="DV718" s="1369"/>
      <c r="DW718" s="1369"/>
      <c r="DX718" s="1369"/>
      <c r="DY718" s="1369"/>
      <c r="DZ718" s="1369">
        <f t="shared" ref="DZ718:DZ752" si="25">IF(AND(B718="1 Bedroom",AC718&lt;=0.3),G718,0)</f>
        <v>0</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1">
        <f t="shared" ref="EZ718:EZ752" si="30">IF(CP718&gt;0,O718,"")</f>
        <v>712</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tr">
        <f>'[1]Data Port'!$G$856</f>
        <v>SRO/Studio</v>
      </c>
      <c r="C719" s="1356"/>
      <c r="D719" s="1356"/>
      <c r="E719" s="1356"/>
      <c r="F719" s="1357"/>
      <c r="G719" s="1364">
        <f>'[1]Data Port'!$G$857</f>
        <v>0</v>
      </c>
      <c r="H719" s="1365"/>
      <c r="I719" s="1365"/>
      <c r="J719" s="1366"/>
      <c r="K719" s="1608">
        <f>'[1]Data Port'!$G$858</f>
        <v>0</v>
      </c>
      <c r="L719" s="1609"/>
      <c r="M719" s="1609"/>
      <c r="N719" s="1610"/>
      <c r="O719" s="1470">
        <f>'[1]Data Port'!$G$859</f>
        <v>0</v>
      </c>
      <c r="P719" s="1471"/>
      <c r="Q719" s="1471"/>
      <c r="R719" s="1471"/>
      <c r="S719" s="1472"/>
      <c r="T719" s="1470">
        <f>IF(G719=0,0,'[1]Data Port'!$D$860)</f>
        <v>0</v>
      </c>
      <c r="U719" s="1471"/>
      <c r="V719" s="1471"/>
      <c r="W719" s="1472"/>
      <c r="X719" s="1358">
        <f t="shared" si="8"/>
        <v>0</v>
      </c>
      <c r="Y719" s="1359"/>
      <c r="Z719" s="1359"/>
      <c r="AA719" s="1359"/>
      <c r="AB719" s="1360"/>
      <c r="AC719" s="1617">
        <f>IF(G719=0,0,'[1]Data Port'!$D$861)</f>
        <v>0</v>
      </c>
      <c r="AD719" s="1618"/>
      <c r="AE719" s="1618"/>
      <c r="AF719" s="1618"/>
      <c r="AG719" s="1619"/>
      <c r="AH719" s="1361" t="str">
        <f t="shared" ref="AH719:AH752" si="36">IF($AC719&gt;0,($X719/$AZ719), "")</f>
        <v/>
      </c>
      <c r="AI719" s="1362"/>
      <c r="AJ719" s="1363"/>
      <c r="AK719" s="1355" t="s">
        <v>590</v>
      </c>
      <c r="AL719" s="1356"/>
      <c r="AM719" s="1356"/>
      <c r="AN719" s="1356"/>
      <c r="AO719" s="1357"/>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0</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1" t="str">
        <f t="shared" si="30"/>
        <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tr">
        <f>'[1]Data Port'!$G$865</f>
        <v>SRO/Studio</v>
      </c>
      <c r="C720" s="1356"/>
      <c r="D720" s="1356"/>
      <c r="E720" s="1356"/>
      <c r="F720" s="1357"/>
      <c r="G720" s="1364">
        <f>'[1]Data Port'!$G$866</f>
        <v>33</v>
      </c>
      <c r="H720" s="1365"/>
      <c r="I720" s="1365"/>
      <c r="J720" s="1366"/>
      <c r="K720" s="1608">
        <f>'[1]Data Port'!$G$867</f>
        <v>350</v>
      </c>
      <c r="L720" s="1609"/>
      <c r="M720" s="1609"/>
      <c r="N720" s="1610"/>
      <c r="O720" s="1470">
        <f>'[1]Data Port'!$G$868</f>
        <v>1241</v>
      </c>
      <c r="P720" s="1471"/>
      <c r="Q720" s="1471"/>
      <c r="R720" s="1471"/>
      <c r="S720" s="1472"/>
      <c r="T720" s="1470">
        <f>IF(G720=0,0,'[1]Data Port'!$D$869)</f>
        <v>83</v>
      </c>
      <c r="U720" s="1471"/>
      <c r="V720" s="1471"/>
      <c r="W720" s="1472"/>
      <c r="X720" s="1358">
        <f t="shared" si="8"/>
        <v>1324</v>
      </c>
      <c r="Y720" s="1359"/>
      <c r="Z720" s="1359"/>
      <c r="AA720" s="1359"/>
      <c r="AB720" s="1360"/>
      <c r="AC720" s="1617">
        <f>IF(G720=0,0,'[1]Data Port'!$D$870)</f>
        <v>0.5</v>
      </c>
      <c r="AD720" s="1618"/>
      <c r="AE720" s="1618"/>
      <c r="AF720" s="1618"/>
      <c r="AG720" s="1619"/>
      <c r="AH720" s="1361">
        <f t="shared" si="36"/>
        <v>0.49962264150943397</v>
      </c>
      <c r="AI720" s="1362"/>
      <c r="AJ720" s="1363"/>
      <c r="AK720" s="1355" t="s">
        <v>590</v>
      </c>
      <c r="AL720" s="1356"/>
      <c r="AM720" s="1356"/>
      <c r="AN720" s="1356"/>
      <c r="AO720" s="1357"/>
      <c r="AP720" s="3"/>
      <c r="AQ720" s="3"/>
      <c r="AR720" s="3"/>
      <c r="AS720" s="3"/>
      <c r="AZ720" s="118">
        <f t="shared" si="9"/>
        <v>2650</v>
      </c>
      <c r="BA720" s="3"/>
      <c r="BB720" s="3"/>
      <c r="BC720" s="3"/>
      <c r="BD720" s="3"/>
      <c r="BE720" s="204"/>
      <c r="BF720" s="294">
        <f t="shared" si="10"/>
        <v>33</v>
      </c>
      <c r="BG720" s="297">
        <f t="shared" si="11"/>
        <v>9.6491228070175433E-2</v>
      </c>
      <c r="BH720" s="298">
        <f t="shared" si="12"/>
        <v>4.8245614035087717E-2</v>
      </c>
      <c r="BI720" s="3"/>
      <c r="BJ720" s="3"/>
      <c r="BK720" s="3"/>
      <c r="BL720" s="3"/>
      <c r="BM720" s="3"/>
      <c r="BN720" s="3"/>
      <c r="BS720" s="294">
        <f t="shared" si="13"/>
        <v>33</v>
      </c>
      <c r="BT720" s="297">
        <f t="shared" si="14"/>
        <v>9.6491228070175433E-2</v>
      </c>
      <c r="BU720" s="298">
        <f t="shared" si="15"/>
        <v>4.8209202250910292E-2</v>
      </c>
      <c r="CC720" s="3"/>
      <c r="CD720" s="3"/>
      <c r="CE720" s="3"/>
      <c r="CF720" s="3"/>
      <c r="CG720" s="1351">
        <f t="shared" si="37"/>
        <v>1</v>
      </c>
      <c r="CH720" s="1353"/>
      <c r="CI720" s="1335">
        <f t="shared" si="38"/>
        <v>33</v>
      </c>
      <c r="CJ720" s="1337"/>
      <c r="CK720" s="1351">
        <f t="shared" si="16"/>
        <v>0</v>
      </c>
      <c r="CL720" s="1353"/>
      <c r="CM720" s="1335">
        <f t="shared" si="17"/>
        <v>0</v>
      </c>
      <c r="CN720" s="1337"/>
      <c r="CO720" s="3"/>
      <c r="CP720" s="1332">
        <f t="shared" si="18"/>
        <v>33</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1">
        <f t="shared" si="30"/>
        <v>1241</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tr">
        <f>'[1]Data Port'!$G$874</f>
        <v>SRO/Studio</v>
      </c>
      <c r="C721" s="1356"/>
      <c r="D721" s="1356"/>
      <c r="E721" s="1356"/>
      <c r="F721" s="1357"/>
      <c r="G721" s="1364">
        <f>'[1]Data Port'!$G$875</f>
        <v>0</v>
      </c>
      <c r="H721" s="1365"/>
      <c r="I721" s="1365"/>
      <c r="J721" s="1366"/>
      <c r="K721" s="1608">
        <f>'[1]Data Port'!$G$876</f>
        <v>0</v>
      </c>
      <c r="L721" s="1609"/>
      <c r="M721" s="1609"/>
      <c r="N721" s="1610"/>
      <c r="O721" s="1470">
        <f>'[1]Data Port'!$G$877</f>
        <v>0</v>
      </c>
      <c r="P721" s="1471"/>
      <c r="Q721" s="1471"/>
      <c r="R721" s="1471"/>
      <c r="S721" s="1472"/>
      <c r="T721" s="1470">
        <f>IF(G721=0,0,'[1]Data Port'!$D$878)</f>
        <v>0</v>
      </c>
      <c r="U721" s="1471"/>
      <c r="V721" s="1471"/>
      <c r="W721" s="1472"/>
      <c r="X721" s="1358">
        <f t="shared" si="8"/>
        <v>0</v>
      </c>
      <c r="Y721" s="1359"/>
      <c r="Z721" s="1359"/>
      <c r="AA721" s="1359"/>
      <c r="AB721" s="1360"/>
      <c r="AC721" s="1617">
        <f>IF(G721=0,0,'[1]Data Port'!$D$879)</f>
        <v>0</v>
      </c>
      <c r="AD721" s="1618"/>
      <c r="AE721" s="1618"/>
      <c r="AF721" s="1618"/>
      <c r="AG721" s="1619"/>
      <c r="AH721" s="1361" t="str">
        <f t="shared" si="36"/>
        <v/>
      </c>
      <c r="AI721" s="1362"/>
      <c r="AJ721" s="1363"/>
      <c r="AK721" s="1355" t="s">
        <v>590</v>
      </c>
      <c r="AL721" s="1356"/>
      <c r="AM721" s="1356"/>
      <c r="AN721" s="1356"/>
      <c r="AO721" s="1357"/>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1" t="str">
        <f t="shared" si="30"/>
        <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tr">
        <f>'[1]Data Port'!$G$883</f>
        <v>SRO/Studio</v>
      </c>
      <c r="C722" s="1356"/>
      <c r="D722" s="1356"/>
      <c r="E722" s="1356"/>
      <c r="F722" s="1357"/>
      <c r="G722" s="1364">
        <f>'[1]Data Port'!$G$884</f>
        <v>0</v>
      </c>
      <c r="H722" s="1365"/>
      <c r="I722" s="1365"/>
      <c r="J722" s="1366"/>
      <c r="K722" s="1608">
        <f>'[1]Data Port'!$G$885</f>
        <v>0</v>
      </c>
      <c r="L722" s="1609"/>
      <c r="M722" s="1609"/>
      <c r="N722" s="1610"/>
      <c r="O722" s="1470">
        <f>'[1]Data Port'!$G$886</f>
        <v>0</v>
      </c>
      <c r="P722" s="1471"/>
      <c r="Q722" s="1471"/>
      <c r="R722" s="1471"/>
      <c r="S722" s="1472"/>
      <c r="T722" s="1470">
        <f>IF(G722=0,0,'[1]Data Port'!$D$887)</f>
        <v>0</v>
      </c>
      <c r="U722" s="1471"/>
      <c r="V722" s="1471"/>
      <c r="W722" s="1472"/>
      <c r="X722" s="1358">
        <f t="shared" si="8"/>
        <v>0</v>
      </c>
      <c r="Y722" s="1359"/>
      <c r="Z722" s="1359"/>
      <c r="AA722" s="1359"/>
      <c r="AB722" s="1360"/>
      <c r="AC722" s="1617">
        <f>IF(G722=0,0,'[1]Data Port'!$D$888)</f>
        <v>0</v>
      </c>
      <c r="AD722" s="1618"/>
      <c r="AE722" s="1618"/>
      <c r="AF722" s="1618"/>
      <c r="AG722" s="1619"/>
      <c r="AH722" s="1361" t="str">
        <f t="shared" si="36"/>
        <v/>
      </c>
      <c r="AI722" s="1362"/>
      <c r="AJ722" s="1363"/>
      <c r="AK722" s="1355" t="s">
        <v>590</v>
      </c>
      <c r="AL722" s="1356"/>
      <c r="AM722" s="1356"/>
      <c r="AN722" s="1356"/>
      <c r="AO722" s="1357"/>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1" t="str">
        <f t="shared" si="30"/>
        <v/>
      </c>
      <c r="FA722" s="1352"/>
      <c r="FB722" s="1352"/>
      <c r="FC722" s="1352"/>
      <c r="FD722" s="1353"/>
      <c r="FE722" s="1351" t="str">
        <f t="shared" si="31"/>
        <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tr">
        <f>'[1]Data Port'!$G$892</f>
        <v>SRO/Studio</v>
      </c>
      <c r="C723" s="1356"/>
      <c r="D723" s="1356"/>
      <c r="E723" s="1356"/>
      <c r="F723" s="1357"/>
      <c r="G723" s="1364">
        <f>'[1]Data Port'!$G$893</f>
        <v>0</v>
      </c>
      <c r="H723" s="1365"/>
      <c r="I723" s="1365"/>
      <c r="J723" s="1366"/>
      <c r="K723" s="1608">
        <f>'[1]Data Port'!$G$894</f>
        <v>0</v>
      </c>
      <c r="L723" s="1609"/>
      <c r="M723" s="1609"/>
      <c r="N723" s="1610"/>
      <c r="O723" s="1470">
        <f>'[1]Data Port'!$G$895</f>
        <v>0</v>
      </c>
      <c r="P723" s="1471"/>
      <c r="Q723" s="1471"/>
      <c r="R723" s="1471"/>
      <c r="S723" s="1472"/>
      <c r="T723" s="1470">
        <f>IF(G723=0,0,'[1]Data Port'!$D$896)</f>
        <v>0</v>
      </c>
      <c r="U723" s="1471"/>
      <c r="V723" s="1471"/>
      <c r="W723" s="1472"/>
      <c r="X723" s="1358">
        <f t="shared" si="8"/>
        <v>0</v>
      </c>
      <c r="Y723" s="1359"/>
      <c r="Z723" s="1359"/>
      <c r="AA723" s="1359"/>
      <c r="AB723" s="1360"/>
      <c r="AC723" s="1617">
        <f>IF(G723=0,0,'[1]Data Port'!$D$897)</f>
        <v>0</v>
      </c>
      <c r="AD723" s="1618"/>
      <c r="AE723" s="1618"/>
      <c r="AF723" s="1618"/>
      <c r="AG723" s="1619"/>
      <c r="AH723" s="1361" t="str">
        <f t="shared" si="36"/>
        <v/>
      </c>
      <c r="AI723" s="1362"/>
      <c r="AJ723" s="1363"/>
      <c r="AK723" s="1355" t="s">
        <v>590</v>
      </c>
      <c r="AL723" s="1356"/>
      <c r="AM723" s="1356"/>
      <c r="AN723" s="1356"/>
      <c r="AO723" s="1357"/>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tr">
        <f>'[1]Data Port'!$G$901</f>
        <v>1 Bedroom</v>
      </c>
      <c r="C724" s="1356"/>
      <c r="D724" s="1356"/>
      <c r="E724" s="1356"/>
      <c r="F724" s="1357"/>
      <c r="G724" s="1364">
        <f>'[1]Data Port'!$G$902</f>
        <v>0</v>
      </c>
      <c r="H724" s="1365"/>
      <c r="I724" s="1365"/>
      <c r="J724" s="1366"/>
      <c r="K724" s="1608">
        <f>'[1]Data Port'!$G$903</f>
        <v>0</v>
      </c>
      <c r="L724" s="1609"/>
      <c r="M724" s="1609"/>
      <c r="N724" s="1610"/>
      <c r="O724" s="1470">
        <f>'[1]Data Port'!$G$904</f>
        <v>0</v>
      </c>
      <c r="P724" s="1471"/>
      <c r="Q724" s="1471"/>
      <c r="R724" s="1471"/>
      <c r="S724" s="1472"/>
      <c r="T724" s="1470">
        <f>IF(G724=0,0,'[1]Data Port'!$D$905)</f>
        <v>0</v>
      </c>
      <c r="U724" s="1471"/>
      <c r="V724" s="1471"/>
      <c r="W724" s="1472"/>
      <c r="X724" s="1358">
        <f t="shared" si="8"/>
        <v>0</v>
      </c>
      <c r="Y724" s="1359"/>
      <c r="Z724" s="1359"/>
      <c r="AA724" s="1359"/>
      <c r="AB724" s="1360"/>
      <c r="AC724" s="1617">
        <f>IF(G724=0,0,'[1]Data Port'!$D$906)</f>
        <v>0</v>
      </c>
      <c r="AD724" s="1618"/>
      <c r="AE724" s="1618"/>
      <c r="AF724" s="1618"/>
      <c r="AG724" s="1619"/>
      <c r="AH724" s="1361" t="str">
        <f t="shared" si="36"/>
        <v/>
      </c>
      <c r="AI724" s="1362"/>
      <c r="AJ724" s="1363"/>
      <c r="AK724" s="1355" t="s">
        <v>590</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tr">
        <f>'[1]Data Port'!$G$910</f>
        <v>1 Bedroom</v>
      </c>
      <c r="C725" s="1356"/>
      <c r="D725" s="1356"/>
      <c r="E725" s="1356"/>
      <c r="F725" s="1357"/>
      <c r="G725" s="1364">
        <f>'[1]Data Port'!$G$911</f>
        <v>0</v>
      </c>
      <c r="H725" s="1365"/>
      <c r="I725" s="1365"/>
      <c r="J725" s="1366"/>
      <c r="K725" s="1608">
        <f>'[1]Data Port'!$G$912</f>
        <v>0</v>
      </c>
      <c r="L725" s="1609"/>
      <c r="M725" s="1609"/>
      <c r="N725" s="1610"/>
      <c r="O725" s="1470">
        <f>'[1]Data Port'!$G$913</f>
        <v>0</v>
      </c>
      <c r="P725" s="1471"/>
      <c r="Q725" s="1471"/>
      <c r="R725" s="1471"/>
      <c r="S725" s="1472"/>
      <c r="T725" s="1470">
        <f>IF(G725=0,0,'[1]Data Port'!$D$914)</f>
        <v>0</v>
      </c>
      <c r="U725" s="1471"/>
      <c r="V725" s="1471"/>
      <c r="W725" s="1472"/>
      <c r="X725" s="1358">
        <f t="shared" si="8"/>
        <v>0</v>
      </c>
      <c r="Y725" s="1359"/>
      <c r="Z725" s="1359"/>
      <c r="AA725" s="1359"/>
      <c r="AB725" s="1360"/>
      <c r="AC725" s="1617">
        <f>IF(G725=0,0,'[1]Data Port'!$D$915)</f>
        <v>0</v>
      </c>
      <c r="AD725" s="1618"/>
      <c r="AE725" s="1618"/>
      <c r="AF725" s="1618"/>
      <c r="AG725" s="1619"/>
      <c r="AH725" s="1361" t="str">
        <f t="shared" si="36"/>
        <v/>
      </c>
      <c r="AI725" s="1362"/>
      <c r="AJ725" s="1363"/>
      <c r="AK725" s="1355" t="s">
        <v>590</v>
      </c>
      <c r="AL725" s="1356"/>
      <c r="AM725" s="1356"/>
      <c r="AN725" s="1356"/>
      <c r="AO725" s="1357"/>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tr">
        <f>'[1]Data Port'!$G$919</f>
        <v>1 Bedroom</v>
      </c>
      <c r="C726" s="1356"/>
      <c r="D726" s="1356"/>
      <c r="E726" s="1356"/>
      <c r="F726" s="1357"/>
      <c r="G726" s="1364">
        <f>'[1]Data Port'!$G$920</f>
        <v>2</v>
      </c>
      <c r="H726" s="1365"/>
      <c r="I726" s="1365"/>
      <c r="J726" s="1366"/>
      <c r="K726" s="1608">
        <f>'[1]Data Port'!$G$921</f>
        <v>515</v>
      </c>
      <c r="L726" s="1609"/>
      <c r="M726" s="1609"/>
      <c r="N726" s="1610"/>
      <c r="O726" s="1470">
        <f>'[1]Data Port'!$G$922</f>
        <v>1318</v>
      </c>
      <c r="P726" s="1471"/>
      <c r="Q726" s="1471"/>
      <c r="R726" s="1471"/>
      <c r="S726" s="1472"/>
      <c r="T726" s="1470">
        <f>IF(G726=0,0,'[1]Data Port'!$D$923)</f>
        <v>101</v>
      </c>
      <c r="U726" s="1471"/>
      <c r="V726" s="1471"/>
      <c r="W726" s="1472"/>
      <c r="X726" s="1358">
        <f t="shared" si="8"/>
        <v>1419</v>
      </c>
      <c r="Y726" s="1359"/>
      <c r="Z726" s="1359"/>
      <c r="AA726" s="1359"/>
      <c r="AB726" s="1360"/>
      <c r="AC726" s="1617">
        <f>IF(G726=0,0,'[1]Data Port'!$D$924)</f>
        <v>0.5</v>
      </c>
      <c r="AD726" s="1618"/>
      <c r="AE726" s="1618"/>
      <c r="AF726" s="1618"/>
      <c r="AG726" s="1619"/>
      <c r="AH726" s="1361">
        <f t="shared" si="36"/>
        <v>0.49964788732394366</v>
      </c>
      <c r="AI726" s="1362"/>
      <c r="AJ726" s="1363"/>
      <c r="AK726" s="1355" t="s">
        <v>590</v>
      </c>
      <c r="AL726" s="1356"/>
      <c r="AM726" s="1356"/>
      <c r="AN726" s="1356"/>
      <c r="AO726" s="1357"/>
      <c r="AP726" s="3"/>
      <c r="AQ726" s="3"/>
      <c r="AR726" s="3"/>
      <c r="AS726" s="3"/>
      <c r="AY726" s="1085"/>
      <c r="AZ726" s="118">
        <f t="shared" si="9"/>
        <v>2840</v>
      </c>
      <c r="BA726" s="3"/>
      <c r="BB726" s="3"/>
      <c r="BC726" s="3"/>
      <c r="BD726" s="3"/>
      <c r="BE726" s="204"/>
      <c r="BF726" s="294">
        <f t="shared" si="10"/>
        <v>2</v>
      </c>
      <c r="BG726" s="297">
        <f t="shared" si="11"/>
        <v>5.8479532163742687E-3</v>
      </c>
      <c r="BH726" s="298">
        <f t="shared" si="12"/>
        <v>2.9239766081871343E-3</v>
      </c>
      <c r="BI726" s="3"/>
      <c r="BJ726" s="3"/>
      <c r="BK726" s="3"/>
      <c r="BL726" s="3"/>
      <c r="BM726" s="3"/>
      <c r="BN726" s="3"/>
      <c r="BS726" s="294">
        <f t="shared" si="13"/>
        <v>2</v>
      </c>
      <c r="BT726" s="297">
        <f t="shared" si="14"/>
        <v>5.8479532163742687E-3</v>
      </c>
      <c r="BU726" s="298">
        <f t="shared" si="15"/>
        <v>2.9219174697306645E-3</v>
      </c>
      <c r="BV726" s="3"/>
      <c r="BW726" s="3"/>
      <c r="BX726" s="3"/>
      <c r="BY726" s="3"/>
      <c r="BZ726" s="3"/>
      <c r="CA726" s="3"/>
      <c r="CB726" s="3"/>
      <c r="CC726" s="3"/>
      <c r="CE726" s="3"/>
      <c r="CF726" s="3"/>
      <c r="CG726" s="1351">
        <f t="shared" si="37"/>
        <v>1</v>
      </c>
      <c r="CH726" s="1353"/>
      <c r="CI726" s="1335">
        <f t="shared" si="38"/>
        <v>2</v>
      </c>
      <c r="CJ726" s="1337"/>
      <c r="CK726" s="1351">
        <f t="shared" si="16"/>
        <v>0</v>
      </c>
      <c r="CL726" s="1353"/>
      <c r="CM726" s="1335">
        <f t="shared" si="17"/>
        <v>0</v>
      </c>
      <c r="CN726" s="1337"/>
      <c r="CO726" s="3"/>
      <c r="CP726" s="1332">
        <f t="shared" si="18"/>
        <v>0</v>
      </c>
      <c r="CQ726" s="1333"/>
      <c r="CR726" s="1333"/>
      <c r="CS726" s="1333"/>
      <c r="CT726" s="1334"/>
      <c r="CU726" s="1354">
        <f t="shared" si="19"/>
        <v>2</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1" t="str">
        <f t="shared" si="30"/>
        <v/>
      </c>
      <c r="FA726" s="1352"/>
      <c r="FB726" s="1352"/>
      <c r="FC726" s="1352"/>
      <c r="FD726" s="1353"/>
      <c r="FE726" s="1351">
        <f t="shared" si="31"/>
        <v>1318</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tr">
        <f>'[1]Data Port'!$G$928</f>
        <v>1 Bedroom</v>
      </c>
      <c r="C727" s="1356"/>
      <c r="D727" s="1356"/>
      <c r="E727" s="1356"/>
      <c r="F727" s="1357"/>
      <c r="G727" s="1364">
        <f>'[1]Data Port'!$G$929</f>
        <v>162</v>
      </c>
      <c r="H727" s="1365"/>
      <c r="I727" s="1365"/>
      <c r="J727" s="1366"/>
      <c r="K727" s="1608">
        <f>'[1]Data Port'!$G$930</f>
        <v>515</v>
      </c>
      <c r="L727" s="1609"/>
      <c r="M727" s="1609"/>
      <c r="N727" s="1610"/>
      <c r="O727" s="1470">
        <f>'[1]Data Port'!$G$931</f>
        <v>1602</v>
      </c>
      <c r="P727" s="1471"/>
      <c r="Q727" s="1471"/>
      <c r="R727" s="1471"/>
      <c r="S727" s="1472"/>
      <c r="T727" s="1470">
        <f>IF(G727=0,0,'[1]Data Port'!$D$932)</f>
        <v>101</v>
      </c>
      <c r="U727" s="1471"/>
      <c r="V727" s="1471"/>
      <c r="W727" s="1472"/>
      <c r="X727" s="1358">
        <f t="shared" si="8"/>
        <v>1703</v>
      </c>
      <c r="Y727" s="1359"/>
      <c r="Z727" s="1359"/>
      <c r="AA727" s="1359"/>
      <c r="AB727" s="1360"/>
      <c r="AC727" s="1617">
        <f>IF(G727=0,0,'[1]Data Port'!$D$933)</f>
        <v>0.6</v>
      </c>
      <c r="AD727" s="1618"/>
      <c r="AE727" s="1618"/>
      <c r="AF727" s="1618"/>
      <c r="AG727" s="1619"/>
      <c r="AH727" s="1361">
        <f t="shared" si="36"/>
        <v>0.5996478873239437</v>
      </c>
      <c r="AI727" s="1362"/>
      <c r="AJ727" s="1363"/>
      <c r="AK727" s="1355" t="s">
        <v>590</v>
      </c>
      <c r="AL727" s="1356"/>
      <c r="AM727" s="1356"/>
      <c r="AN727" s="1356"/>
      <c r="AO727" s="1357"/>
      <c r="AP727" s="3"/>
      <c r="AQ727" s="3"/>
      <c r="AR727" s="3"/>
      <c r="AS727" s="3"/>
      <c r="AY727" s="1085"/>
      <c r="AZ727" s="118">
        <f t="shared" si="9"/>
        <v>2840</v>
      </c>
      <c r="BA727" s="3"/>
      <c r="BB727" s="3"/>
      <c r="BC727" s="3"/>
      <c r="BD727" s="3"/>
      <c r="BE727" s="204"/>
      <c r="BF727" s="294">
        <f t="shared" si="10"/>
        <v>162</v>
      </c>
      <c r="BG727" s="297">
        <f t="shared" si="11"/>
        <v>0.47368421052631576</v>
      </c>
      <c r="BH727" s="298">
        <f t="shared" si="12"/>
        <v>0.28421052631578947</v>
      </c>
      <c r="BI727" s="3"/>
      <c r="BJ727" s="3"/>
      <c r="BK727" s="3"/>
      <c r="BL727" s="3"/>
      <c r="BM727" s="3"/>
      <c r="BN727" s="3"/>
      <c r="BS727" s="294">
        <f t="shared" si="13"/>
        <v>162</v>
      </c>
      <c r="BT727" s="297">
        <f t="shared" si="14"/>
        <v>0.47368421052631576</v>
      </c>
      <c r="BU727" s="298">
        <f t="shared" si="15"/>
        <v>0.2840437361008154</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162</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1" t="str">
        <f t="shared" si="30"/>
        <v/>
      </c>
      <c r="FA727" s="1352"/>
      <c r="FB727" s="1352"/>
      <c r="FC727" s="1352"/>
      <c r="FD727" s="1353"/>
      <c r="FE727" s="1351">
        <f t="shared" si="31"/>
        <v>1602</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tr">
        <f>'[1]Data Port'!$G$937</f>
        <v>1 Bedroom</v>
      </c>
      <c r="C728" s="1356"/>
      <c r="D728" s="1356"/>
      <c r="E728" s="1356"/>
      <c r="F728" s="1357"/>
      <c r="G728" s="1364">
        <f>'[1]Data Port'!$G$938</f>
        <v>60</v>
      </c>
      <c r="H728" s="1365"/>
      <c r="I728" s="1365"/>
      <c r="J728" s="1366"/>
      <c r="K728" s="1608">
        <f>'[1]Data Port'!$G$939</f>
        <v>568</v>
      </c>
      <c r="L728" s="1609"/>
      <c r="M728" s="1609"/>
      <c r="N728" s="1610"/>
      <c r="O728" s="1470">
        <f>'[1]Data Port'!$G$940</f>
        <v>1885</v>
      </c>
      <c r="P728" s="1471"/>
      <c r="Q728" s="1471"/>
      <c r="R728" s="1471"/>
      <c r="S728" s="1472"/>
      <c r="T728" s="1470">
        <f>IF(G728=0,0,'[1]Data Port'!$D$941)</f>
        <v>101</v>
      </c>
      <c r="U728" s="1471"/>
      <c r="V728" s="1471"/>
      <c r="W728" s="1472"/>
      <c r="X728" s="1358">
        <f t="shared" si="8"/>
        <v>1986</v>
      </c>
      <c r="Y728" s="1359"/>
      <c r="Z728" s="1359"/>
      <c r="AA728" s="1359"/>
      <c r="AB728" s="1360"/>
      <c r="AC728" s="1617">
        <f>IF(G728=0,0,'[1]Data Port'!$D$942)</f>
        <v>0.7</v>
      </c>
      <c r="AD728" s="1618"/>
      <c r="AE728" s="1618"/>
      <c r="AF728" s="1618"/>
      <c r="AG728" s="1619"/>
      <c r="AH728" s="1361">
        <f t="shared" si="36"/>
        <v>0.69929577464788728</v>
      </c>
      <c r="AI728" s="1362"/>
      <c r="AJ728" s="1363"/>
      <c r="AK728" s="1355" t="s">
        <v>590</v>
      </c>
      <c r="AL728" s="1356"/>
      <c r="AM728" s="1356"/>
      <c r="AN728" s="1356"/>
      <c r="AO728" s="1357"/>
      <c r="AP728" s="3"/>
      <c r="AQ728" s="3"/>
      <c r="AR728" s="3"/>
      <c r="AS728" s="3"/>
      <c r="AY728" s="1085"/>
      <c r="AZ728" s="118">
        <f t="shared" si="9"/>
        <v>2840</v>
      </c>
      <c r="BA728" s="3"/>
      <c r="BB728" s="3"/>
      <c r="BC728" s="3"/>
      <c r="BD728" s="3"/>
      <c r="BE728" s="204"/>
      <c r="BF728" s="294">
        <f t="shared" si="10"/>
        <v>60</v>
      </c>
      <c r="BG728" s="297">
        <f t="shared" si="11"/>
        <v>0.17543859649122806</v>
      </c>
      <c r="BH728" s="298">
        <f t="shared" si="12"/>
        <v>0.12280701754385963</v>
      </c>
      <c r="BI728" s="3"/>
      <c r="BJ728" s="3"/>
      <c r="BK728" s="3"/>
      <c r="BL728" s="3"/>
      <c r="BM728" s="3"/>
      <c r="BN728" s="3"/>
      <c r="BS728" s="294">
        <f t="shared" si="13"/>
        <v>60</v>
      </c>
      <c r="BT728" s="297">
        <f t="shared" si="14"/>
        <v>0.17543859649122806</v>
      </c>
      <c r="BU728" s="298">
        <f t="shared" si="15"/>
        <v>0.12268346923647144</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60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1" t="str">
        <f t="shared" si="30"/>
        <v/>
      </c>
      <c r="FA728" s="1352"/>
      <c r="FB728" s="1352"/>
      <c r="FC728" s="1352"/>
      <c r="FD728" s="1353"/>
      <c r="FE728" s="1351">
        <f t="shared" si="31"/>
        <v>1885</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tr">
        <f>'[1]Data Port'!$G$946</f>
        <v>1 Bedroom</v>
      </c>
      <c r="C729" s="1356"/>
      <c r="D729" s="1356"/>
      <c r="E729" s="1356"/>
      <c r="F729" s="1357"/>
      <c r="G729" s="1364">
        <f>'[1]Data Port'!$G$947</f>
        <v>0</v>
      </c>
      <c r="H729" s="1365"/>
      <c r="I729" s="1365"/>
      <c r="J729" s="1366"/>
      <c r="K729" s="1608">
        <f>'[1]Data Port'!$G$948</f>
        <v>0</v>
      </c>
      <c r="L729" s="1609"/>
      <c r="M729" s="1609"/>
      <c r="N729" s="1610"/>
      <c r="O729" s="1470">
        <f>'[1]Data Port'!$G$949</f>
        <v>0</v>
      </c>
      <c r="P729" s="1471"/>
      <c r="Q729" s="1471"/>
      <c r="R729" s="1471"/>
      <c r="S729" s="1472"/>
      <c r="T729" s="1470">
        <f>IF(G729=0,0,'[1]Data Port'!$D$950)</f>
        <v>0</v>
      </c>
      <c r="U729" s="1471"/>
      <c r="V729" s="1471"/>
      <c r="W729" s="1472"/>
      <c r="X729" s="1358">
        <f t="shared" si="8"/>
        <v>0</v>
      </c>
      <c r="Y729" s="1359"/>
      <c r="Z729" s="1359"/>
      <c r="AA729" s="1359"/>
      <c r="AB729" s="1360"/>
      <c r="AC729" s="1617">
        <f>IF(G729=0,0,'[1]Data Port'!$D$951)</f>
        <v>0</v>
      </c>
      <c r="AD729" s="1618"/>
      <c r="AE729" s="1618"/>
      <c r="AF729" s="1618"/>
      <c r="AG729" s="1619"/>
      <c r="AH729" s="1361" t="str">
        <f t="shared" si="36"/>
        <v/>
      </c>
      <c r="AI729" s="1362"/>
      <c r="AJ729" s="1363"/>
      <c r="AK729" s="1355" t="s">
        <v>590</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t="str">
        <f>'[1]Data Port'!$G$955</f>
        <v>2 Bedrooms</v>
      </c>
      <c r="C730" s="1356"/>
      <c r="D730" s="1356"/>
      <c r="E730" s="1356"/>
      <c r="F730" s="1357"/>
      <c r="G730" s="1364">
        <f>'[1]Data Port'!$G$956</f>
        <v>0</v>
      </c>
      <c r="H730" s="1365"/>
      <c r="I730" s="1365"/>
      <c r="J730" s="1366"/>
      <c r="K730" s="1608">
        <f>'[1]Data Port'!$G$958</f>
        <v>0</v>
      </c>
      <c r="L730" s="1609"/>
      <c r="M730" s="1609"/>
      <c r="N730" s="1610"/>
      <c r="O730" s="1470">
        <f>'[1]Data Port'!$G$958</f>
        <v>0</v>
      </c>
      <c r="P730" s="1471"/>
      <c r="Q730" s="1471"/>
      <c r="R730" s="1471"/>
      <c r="S730" s="1472"/>
      <c r="T730" s="1470">
        <f>IF(G730=0,0,'[1]Data Port'!$D$959)</f>
        <v>0</v>
      </c>
      <c r="U730" s="1471"/>
      <c r="V730" s="1471"/>
      <c r="W730" s="1472"/>
      <c r="X730" s="1358">
        <f t="shared" si="8"/>
        <v>0</v>
      </c>
      <c r="Y730" s="1359"/>
      <c r="Z730" s="1359"/>
      <c r="AA730" s="1359"/>
      <c r="AB730" s="1360"/>
      <c r="AC730" s="1617">
        <f>IF(G730=0,0,'[1]Data Port'!$D$960)</f>
        <v>0</v>
      </c>
      <c r="AD730" s="1618"/>
      <c r="AE730" s="1618"/>
      <c r="AF730" s="1618"/>
      <c r="AG730" s="1619"/>
      <c r="AH730" s="1361" t="str">
        <f t="shared" si="36"/>
        <v/>
      </c>
      <c r="AI730" s="1362"/>
      <c r="AJ730" s="1363"/>
      <c r="AK730" s="1355" t="s">
        <v>590</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tr">
        <f>'[1]Data Port'!$G$964</f>
        <v>2 Bedrooms</v>
      </c>
      <c r="C731" s="1356"/>
      <c r="D731" s="1356"/>
      <c r="E731" s="1356"/>
      <c r="F731" s="1357"/>
      <c r="G731" s="1364">
        <f>'[1]Data Port'!$G$965</f>
        <v>0</v>
      </c>
      <c r="H731" s="1365"/>
      <c r="I731" s="1365"/>
      <c r="J731" s="1366"/>
      <c r="K731" s="1608">
        <f>'[1]Data Port'!$G$966</f>
        <v>0</v>
      </c>
      <c r="L731" s="1609"/>
      <c r="M731" s="1609"/>
      <c r="N731" s="1610"/>
      <c r="O731" s="1470">
        <f>'[1]Data Port'!$G$967</f>
        <v>0</v>
      </c>
      <c r="P731" s="1471"/>
      <c r="Q731" s="1471"/>
      <c r="R731" s="1471"/>
      <c r="S731" s="1472"/>
      <c r="T731" s="1470">
        <f>IF(G731=0,0,'[1]Data Port'!$D$968)</f>
        <v>0</v>
      </c>
      <c r="U731" s="1471"/>
      <c r="V731" s="1471"/>
      <c r="W731" s="1472"/>
      <c r="X731" s="1358">
        <f t="shared" si="8"/>
        <v>0</v>
      </c>
      <c r="Y731" s="1359"/>
      <c r="Z731" s="1359"/>
      <c r="AA731" s="1359"/>
      <c r="AB731" s="1360"/>
      <c r="AC731" s="1617">
        <f>IF(G731=0,0,'[1]Data Port'!$D$969)</f>
        <v>0</v>
      </c>
      <c r="AD731" s="1618"/>
      <c r="AE731" s="1618"/>
      <c r="AF731" s="1618"/>
      <c r="AG731" s="1619"/>
      <c r="AH731" s="1361" t="str">
        <f t="shared" si="36"/>
        <v/>
      </c>
      <c r="AI731" s="1362"/>
      <c r="AJ731" s="1363"/>
      <c r="AK731" s="1355" t="s">
        <v>590</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tr">
        <f>'[1]Data Port'!$G$973</f>
        <v>2 Bedrooms</v>
      </c>
      <c r="C732" s="1356"/>
      <c r="D732" s="1356"/>
      <c r="E732" s="1356"/>
      <c r="F732" s="1357"/>
      <c r="G732" s="1364">
        <f>'[1]Data Port'!$G$974</f>
        <v>0</v>
      </c>
      <c r="H732" s="1365"/>
      <c r="I732" s="1365"/>
      <c r="J732" s="1366"/>
      <c r="K732" s="1608">
        <f>'[1]Data Port'!$G$975</f>
        <v>0</v>
      </c>
      <c r="L732" s="1609"/>
      <c r="M732" s="1609"/>
      <c r="N732" s="1610"/>
      <c r="O732" s="1470">
        <f>'[1]Data Port'!$G$976</f>
        <v>0</v>
      </c>
      <c r="P732" s="1471"/>
      <c r="Q732" s="1471"/>
      <c r="R732" s="1471"/>
      <c r="S732" s="1472"/>
      <c r="T732" s="1470">
        <f>IF(G732=0,0,'[1]Data Port'!$D$977)</f>
        <v>0</v>
      </c>
      <c r="U732" s="1471"/>
      <c r="V732" s="1471"/>
      <c r="W732" s="1472"/>
      <c r="X732" s="1358">
        <f t="shared" si="8"/>
        <v>0</v>
      </c>
      <c r="Y732" s="1359"/>
      <c r="Z732" s="1359"/>
      <c r="AA732" s="1359"/>
      <c r="AB732" s="1360"/>
      <c r="AC732" s="1617">
        <f>IF(G732=0,0,'[1]Data Port'!$D$978)</f>
        <v>0</v>
      </c>
      <c r="AD732" s="1618"/>
      <c r="AE732" s="1618"/>
      <c r="AF732" s="1618"/>
      <c r="AG732" s="1619"/>
      <c r="AH732" s="1361" t="str">
        <f t="shared" si="36"/>
        <v/>
      </c>
      <c r="AI732" s="1362"/>
      <c r="AJ732" s="1363"/>
      <c r="AK732" s="1355" t="s">
        <v>590</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t="str">
        <f>'[1]Data Port'!$G$982</f>
        <v>2 Bedrooms</v>
      </c>
      <c r="C733" s="1356"/>
      <c r="D733" s="1356"/>
      <c r="E733" s="1356"/>
      <c r="F733" s="1357"/>
      <c r="G733" s="1364">
        <f>'[1]Data Port'!$G$983</f>
        <v>6</v>
      </c>
      <c r="H733" s="1365"/>
      <c r="I733" s="1365"/>
      <c r="J733" s="1366"/>
      <c r="K733" s="1608">
        <f>'[1]Data Port'!$G$984</f>
        <v>700</v>
      </c>
      <c r="L733" s="1609"/>
      <c r="M733" s="1609"/>
      <c r="N733" s="1610"/>
      <c r="O733" s="1470">
        <f>'[1]Data Port'!$G$985</f>
        <v>1904</v>
      </c>
      <c r="P733" s="1471"/>
      <c r="Q733" s="1471"/>
      <c r="R733" s="1471"/>
      <c r="S733" s="1472"/>
      <c r="T733" s="1470">
        <f>IF(G733=0,0,'[1]Data Port'!$D$986)</f>
        <v>139</v>
      </c>
      <c r="U733" s="1471"/>
      <c r="V733" s="1471"/>
      <c r="W733" s="1472"/>
      <c r="X733" s="1358">
        <f t="shared" si="8"/>
        <v>2043</v>
      </c>
      <c r="Y733" s="1359"/>
      <c r="Z733" s="1359"/>
      <c r="AA733" s="1359"/>
      <c r="AB733" s="1360"/>
      <c r="AC733" s="1617">
        <f>IF(G733=0,0,'[1]Data Port'!$D$987)</f>
        <v>0.6</v>
      </c>
      <c r="AD733" s="1618"/>
      <c r="AE733" s="1618"/>
      <c r="AF733" s="1618"/>
      <c r="AG733" s="1619"/>
      <c r="AH733" s="1361">
        <f t="shared" si="36"/>
        <v>0.59982384028185554</v>
      </c>
      <c r="AI733" s="1362"/>
      <c r="AJ733" s="1363"/>
      <c r="AK733" s="1355" t="s">
        <v>590</v>
      </c>
      <c r="AL733" s="1356"/>
      <c r="AM733" s="1356"/>
      <c r="AN733" s="1356"/>
      <c r="AO733" s="1357"/>
      <c r="AP733" s="3"/>
      <c r="AQ733" s="3"/>
      <c r="AR733" s="3"/>
      <c r="AS733" s="3"/>
      <c r="AY733" s="1085"/>
      <c r="AZ733" s="118">
        <f t="shared" si="9"/>
        <v>3406</v>
      </c>
      <c r="BA733" s="3"/>
      <c r="BB733" s="3"/>
      <c r="BC733" s="3"/>
      <c r="BD733" s="3"/>
      <c r="BE733" s="204"/>
      <c r="BF733" s="294">
        <f t="shared" si="10"/>
        <v>6</v>
      </c>
      <c r="BG733" s="297">
        <f t="shared" si="11"/>
        <v>1.7543859649122806E-2</v>
      </c>
      <c r="BH733" s="298">
        <f t="shared" si="12"/>
        <v>1.0526315789473684E-2</v>
      </c>
      <c r="BI733" s="3"/>
      <c r="BJ733" s="3"/>
      <c r="BK733" s="3"/>
      <c r="BL733" s="3"/>
      <c r="BM733" s="3"/>
      <c r="BN733" s="3"/>
      <c r="BS733" s="294">
        <f t="shared" si="13"/>
        <v>6</v>
      </c>
      <c r="BT733" s="297">
        <f t="shared" si="14"/>
        <v>1.7543859649122806E-2</v>
      </c>
      <c r="BU733" s="298">
        <f t="shared" si="15"/>
        <v>1.0523225268102728E-2</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6</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1" t="str">
        <f t="shared" si="30"/>
        <v/>
      </c>
      <c r="FA733" s="1352"/>
      <c r="FB733" s="1352"/>
      <c r="FC733" s="1352"/>
      <c r="FD733" s="1353"/>
      <c r="FE733" s="1351" t="str">
        <f t="shared" si="31"/>
        <v/>
      </c>
      <c r="FF733" s="1352"/>
      <c r="FG733" s="1352"/>
      <c r="FH733" s="1352"/>
      <c r="FI733" s="1353"/>
      <c r="FJ733" s="1351">
        <f t="shared" si="32"/>
        <v>1904</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t="str">
        <f>'[1]Data Port'!$G$991</f>
        <v>2 Bedrooms</v>
      </c>
      <c r="C734" s="1356"/>
      <c r="D734" s="1356"/>
      <c r="E734" s="1356"/>
      <c r="F734" s="1357"/>
      <c r="G734" s="1364">
        <f>'[1]Data Port'!$G$992</f>
        <v>44</v>
      </c>
      <c r="H734" s="1365"/>
      <c r="I734" s="1365"/>
      <c r="J734" s="1366"/>
      <c r="K734" s="1608">
        <f>'[1]Data Port'!$G$993</f>
        <v>900</v>
      </c>
      <c r="L734" s="1609"/>
      <c r="M734" s="1609"/>
      <c r="N734" s="1610"/>
      <c r="O734" s="1470">
        <f>'[1]Data Port'!$G$994</f>
        <v>2245</v>
      </c>
      <c r="P734" s="1471"/>
      <c r="Q734" s="1471"/>
      <c r="R734" s="1471"/>
      <c r="S734" s="1472"/>
      <c r="T734" s="1470">
        <f>IF(G734=0,0,'[1]Data Port'!$D$995)</f>
        <v>139</v>
      </c>
      <c r="U734" s="1471"/>
      <c r="V734" s="1471"/>
      <c r="W734" s="1472"/>
      <c r="X734" s="1358">
        <f t="shared" si="8"/>
        <v>2384</v>
      </c>
      <c r="Y734" s="1359"/>
      <c r="Z734" s="1359"/>
      <c r="AA734" s="1359"/>
      <c r="AB734" s="1360"/>
      <c r="AC734" s="1617">
        <f>IF(G734=0,0,'[1]Data Port'!$D$996)</f>
        <v>0.7</v>
      </c>
      <c r="AD734" s="1618"/>
      <c r="AE734" s="1618"/>
      <c r="AF734" s="1618"/>
      <c r="AG734" s="1619"/>
      <c r="AH734" s="1361">
        <f t="shared" si="36"/>
        <v>0.69994128009395185</v>
      </c>
      <c r="AI734" s="1362"/>
      <c r="AJ734" s="1363"/>
      <c r="AK734" s="1355" t="s">
        <v>590</v>
      </c>
      <c r="AL734" s="1356"/>
      <c r="AM734" s="1356"/>
      <c r="AN734" s="1356"/>
      <c r="AO734" s="1357"/>
      <c r="AP734" s="3"/>
      <c r="AQ734" s="3"/>
      <c r="AR734" s="3"/>
      <c r="AS734" s="3"/>
      <c r="AY734" s="1085"/>
      <c r="AZ734" s="118">
        <f t="shared" si="9"/>
        <v>3406</v>
      </c>
      <c r="BA734" s="3"/>
      <c r="BB734" s="3"/>
      <c r="BC734" s="3"/>
      <c r="BD734" s="3"/>
      <c r="BE734" s="204"/>
      <c r="BF734" s="294">
        <f t="shared" si="10"/>
        <v>44</v>
      </c>
      <c r="BG734" s="297">
        <f t="shared" si="11"/>
        <v>0.12865497076023391</v>
      </c>
      <c r="BH734" s="298">
        <f t="shared" si="12"/>
        <v>9.0058479532163727E-2</v>
      </c>
      <c r="BI734" s="3"/>
      <c r="BJ734" s="3"/>
      <c r="BK734" s="3"/>
      <c r="BL734" s="3"/>
      <c r="BM734" s="3"/>
      <c r="BN734" s="3"/>
      <c r="BS734" s="294">
        <f t="shared" si="13"/>
        <v>44</v>
      </c>
      <c r="BT734" s="297">
        <f t="shared" si="14"/>
        <v>0.12865497076023391</v>
      </c>
      <c r="BU734" s="298">
        <f t="shared" si="15"/>
        <v>9.0050924924368073E-2</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44</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1" t="str">
        <f t="shared" si="30"/>
        <v/>
      </c>
      <c r="FA734" s="1352"/>
      <c r="FB734" s="1352"/>
      <c r="FC734" s="1352"/>
      <c r="FD734" s="1353"/>
      <c r="FE734" s="1351" t="str">
        <f t="shared" si="31"/>
        <v/>
      </c>
      <c r="FF734" s="1352"/>
      <c r="FG734" s="1352"/>
      <c r="FH734" s="1352"/>
      <c r="FI734" s="1353"/>
      <c r="FJ734" s="1351">
        <f t="shared" si="32"/>
        <v>2245</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t="str">
        <f>'[1]Data Port'!$G$1000</f>
        <v>2 Bedrooms</v>
      </c>
      <c r="C735" s="1356"/>
      <c r="D735" s="1356"/>
      <c r="E735" s="1356"/>
      <c r="F735" s="1357"/>
      <c r="G735" s="1364">
        <f>'[1]Data Port'!$G$1001</f>
        <v>0</v>
      </c>
      <c r="H735" s="1365"/>
      <c r="I735" s="1365"/>
      <c r="J735" s="1366"/>
      <c r="K735" s="1608">
        <f>'[1]Data Port'!$G$1002</f>
        <v>0</v>
      </c>
      <c r="L735" s="1609"/>
      <c r="M735" s="1609"/>
      <c r="N735" s="1610"/>
      <c r="O735" s="1470">
        <f>'[1]Data Port'!$G$1003</f>
        <v>0</v>
      </c>
      <c r="P735" s="1471"/>
      <c r="Q735" s="1471"/>
      <c r="R735" s="1471"/>
      <c r="S735" s="1472"/>
      <c r="T735" s="1470">
        <f>IF(G735=0,0,'[1]Data Port'!$D$1004)</f>
        <v>0</v>
      </c>
      <c r="U735" s="1471"/>
      <c r="V735" s="1471"/>
      <c r="W735" s="1472"/>
      <c r="X735" s="1358">
        <f t="shared" si="8"/>
        <v>0</v>
      </c>
      <c r="Y735" s="1359"/>
      <c r="Z735" s="1359"/>
      <c r="AA735" s="1359"/>
      <c r="AB735" s="1360"/>
      <c r="AC735" s="1617">
        <f>IF(G735=0,0,'[1]Data Port'!$D$1005)</f>
        <v>0</v>
      </c>
      <c r="AD735" s="1618"/>
      <c r="AE735" s="1618"/>
      <c r="AF735" s="1618"/>
      <c r="AG735" s="1619"/>
      <c r="AH735" s="1361" t="str">
        <f t="shared" si="36"/>
        <v/>
      </c>
      <c r="AI735" s="1362"/>
      <c r="AJ735" s="1363"/>
      <c r="AK735" s="1367" t="s">
        <v>590</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95" t="str">
        <f>'[1]Data Port'!$D$1425</f>
        <v>3 Bedrooms</v>
      </c>
      <c r="C736" s="1356"/>
      <c r="D736" s="1356"/>
      <c r="E736" s="1356"/>
      <c r="F736" s="1357"/>
      <c r="G736" s="1364">
        <f>'[1]Data Port'!$D$1426</f>
        <v>0</v>
      </c>
      <c r="H736" s="1365"/>
      <c r="I736" s="1365"/>
      <c r="J736" s="1366"/>
      <c r="K736" s="1608">
        <f>'[1]Data Port'!$D$1427</f>
        <v>0</v>
      </c>
      <c r="L736" s="1609"/>
      <c r="M736" s="1609"/>
      <c r="N736" s="1610"/>
      <c r="O736" s="1470">
        <f>'[1]Data Port'!$D$1428</f>
        <v>0</v>
      </c>
      <c r="P736" s="1471"/>
      <c r="Q736" s="1471"/>
      <c r="R736" s="1471"/>
      <c r="S736" s="1472"/>
      <c r="T736" s="1470">
        <f>IF(G736=0,0,'[1]Data Port'!$D$1429)</f>
        <v>0</v>
      </c>
      <c r="U736" s="1471"/>
      <c r="V736" s="1471"/>
      <c r="W736" s="1472"/>
      <c r="X736" s="1358">
        <f t="shared" si="8"/>
        <v>0</v>
      </c>
      <c r="Y736" s="1359"/>
      <c r="Z736" s="1359"/>
      <c r="AA736" s="1359"/>
      <c r="AB736" s="1360"/>
      <c r="AC736" s="1617">
        <f>IF(G736=0,0,'[1]Data Port'!$D$1430)</f>
        <v>0</v>
      </c>
      <c r="AD736" s="1618"/>
      <c r="AE736" s="1618"/>
      <c r="AF736" s="1618"/>
      <c r="AG736" s="1619"/>
      <c r="AH736" s="1361" t="str">
        <f t="shared" si="36"/>
        <v/>
      </c>
      <c r="AI736" s="1362"/>
      <c r="AJ736" s="1363"/>
      <c r="AK736" s="1355" t="s">
        <v>590</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95" t="str">
        <f>'[1]Data Port'!$D$1434</f>
        <v>3 Bedrooms</v>
      </c>
      <c r="C737" s="1356"/>
      <c r="D737" s="1356"/>
      <c r="E737" s="1356"/>
      <c r="F737" s="1357"/>
      <c r="G737" s="1364">
        <f>'[1]Data Port'!$D$1435</f>
        <v>0</v>
      </c>
      <c r="H737" s="1365"/>
      <c r="I737" s="1365"/>
      <c r="J737" s="1366"/>
      <c r="K737" s="1608">
        <f>'[1]Data Port'!$D$1436</f>
        <v>0</v>
      </c>
      <c r="L737" s="1609"/>
      <c r="M737" s="1609"/>
      <c r="N737" s="1610"/>
      <c r="O737" s="1470">
        <f>'[1]Data Port'!$D$1437</f>
        <v>0</v>
      </c>
      <c r="P737" s="1471"/>
      <c r="Q737" s="1471"/>
      <c r="R737" s="1471"/>
      <c r="S737" s="1472"/>
      <c r="T737" s="1470">
        <f>IF(G735=0,0,'[1]Data Port'!$D$1438)</f>
        <v>0</v>
      </c>
      <c r="U737" s="1471"/>
      <c r="V737" s="1471"/>
      <c r="W737" s="1472"/>
      <c r="X737" s="1358">
        <f t="shared" si="8"/>
        <v>0</v>
      </c>
      <c r="Y737" s="1359"/>
      <c r="Z737" s="1359"/>
      <c r="AA737" s="1359"/>
      <c r="AB737" s="1360"/>
      <c r="AC737" s="1617">
        <f>IF(G737=0,0,'[1]Data Port'!$D$1439)</f>
        <v>0</v>
      </c>
      <c r="AD737" s="1618"/>
      <c r="AE737" s="1618"/>
      <c r="AF737" s="1618"/>
      <c r="AG737" s="1619"/>
      <c r="AH737" s="1361" t="str">
        <f t="shared" si="36"/>
        <v/>
      </c>
      <c r="AI737" s="1362"/>
      <c r="AJ737" s="1363"/>
      <c r="AK737" s="1355" t="s">
        <v>590</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95" t="str">
        <f>'[1]Data Port'!$D$1443</f>
        <v>3 Bedrooms</v>
      </c>
      <c r="C738" s="1356"/>
      <c r="D738" s="1356"/>
      <c r="E738" s="1356"/>
      <c r="F738" s="1357"/>
      <c r="G738" s="1364">
        <f>'[1]Data Port'!$D$1444</f>
        <v>0</v>
      </c>
      <c r="H738" s="1365"/>
      <c r="I738" s="1365"/>
      <c r="J738" s="1366"/>
      <c r="K738" s="1608">
        <f>'[1]Data Port'!$D$1445</f>
        <v>0</v>
      </c>
      <c r="L738" s="1609"/>
      <c r="M738" s="1609"/>
      <c r="N738" s="1610"/>
      <c r="O738" s="1470">
        <f>'[1]Data Port'!$D$1446</f>
        <v>0</v>
      </c>
      <c r="P738" s="1471"/>
      <c r="Q738" s="1471"/>
      <c r="R738" s="1471"/>
      <c r="S738" s="1472"/>
      <c r="T738" s="1470">
        <f>IF(G738=0,0,'[1]Data Port'!$D$1447)</f>
        <v>0</v>
      </c>
      <c r="U738" s="1471"/>
      <c r="V738" s="1471"/>
      <c r="W738" s="1472"/>
      <c r="X738" s="1358">
        <f t="shared" si="8"/>
        <v>0</v>
      </c>
      <c r="Y738" s="1359"/>
      <c r="Z738" s="1359"/>
      <c r="AA738" s="1359"/>
      <c r="AB738" s="1360"/>
      <c r="AC738" s="1617">
        <f>IF(G738=0,0,'[1]Data Port'!$D$1448)</f>
        <v>0</v>
      </c>
      <c r="AD738" s="1618"/>
      <c r="AE738" s="1618"/>
      <c r="AF738" s="1618"/>
      <c r="AG738" s="1619"/>
      <c r="AH738" s="1361" t="str">
        <f t="shared" si="36"/>
        <v/>
      </c>
      <c r="AI738" s="1362"/>
      <c r="AJ738" s="1363"/>
      <c r="AK738" s="1355" t="s">
        <v>590</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95" t="str">
        <f>'[1]Data Port'!$D$1452</f>
        <v>3 Bedrooms</v>
      </c>
      <c r="C739" s="1356"/>
      <c r="D739" s="1356"/>
      <c r="E739" s="1356"/>
      <c r="F739" s="1357"/>
      <c r="G739" s="1364">
        <f>'[1]Data Port'!$D$1453</f>
        <v>0</v>
      </c>
      <c r="H739" s="1365"/>
      <c r="I739" s="1365"/>
      <c r="J739" s="1366"/>
      <c r="K739" s="1608">
        <f>'[1]Data Port'!$D$1454</f>
        <v>0</v>
      </c>
      <c r="L739" s="1609"/>
      <c r="M739" s="1609"/>
      <c r="N739" s="1610"/>
      <c r="O739" s="1470">
        <f>'[1]Data Port'!$D$1455</f>
        <v>0</v>
      </c>
      <c r="P739" s="1471"/>
      <c r="Q739" s="1471"/>
      <c r="R739" s="1471"/>
      <c r="S739" s="1472"/>
      <c r="T739" s="1470">
        <f>IF(G739=0,0,'[1]Data Port'!$D$1456)</f>
        <v>0</v>
      </c>
      <c r="U739" s="1471"/>
      <c r="V739" s="1471"/>
      <c r="W739" s="1472"/>
      <c r="X739" s="1358">
        <f t="shared" si="8"/>
        <v>0</v>
      </c>
      <c r="Y739" s="1359"/>
      <c r="Z739" s="1359"/>
      <c r="AA739" s="1359"/>
      <c r="AB739" s="1360"/>
      <c r="AC739" s="1617">
        <f>IF(G739=0,0,'[1]Data Port'!$D$1457)</f>
        <v>0</v>
      </c>
      <c r="AD739" s="1618"/>
      <c r="AE739" s="1618"/>
      <c r="AF739" s="1618"/>
      <c r="AG739" s="1619"/>
      <c r="AH739" s="1361" t="str">
        <f t="shared" si="36"/>
        <v/>
      </c>
      <c r="AI739" s="1362"/>
      <c r="AJ739" s="1363"/>
      <c r="AK739" s="1355" t="s">
        <v>590</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95" t="str">
        <f>'[1]Data Port'!$D$1461</f>
        <v>3 Bedrooms</v>
      </c>
      <c r="C740" s="1356"/>
      <c r="D740" s="1356"/>
      <c r="E740" s="1356"/>
      <c r="F740" s="1357"/>
      <c r="G740" s="1364">
        <f>'[1]Data Port'!$D$1462</f>
        <v>0</v>
      </c>
      <c r="H740" s="1365"/>
      <c r="I740" s="1365"/>
      <c r="J740" s="1366"/>
      <c r="K740" s="1608">
        <f>'[1]Data Port'!$D$1463</f>
        <v>0</v>
      </c>
      <c r="L740" s="1609"/>
      <c r="M740" s="1609"/>
      <c r="N740" s="1610"/>
      <c r="O740" s="1470">
        <f>'[1]Data Port'!$D$1464</f>
        <v>0</v>
      </c>
      <c r="P740" s="1471"/>
      <c r="Q740" s="1471"/>
      <c r="R740" s="1471"/>
      <c r="S740" s="1472"/>
      <c r="T740" s="1470">
        <f>IF(G740=0,0,'[1]Data Port'!$D$1465)</f>
        <v>0</v>
      </c>
      <c r="U740" s="1471"/>
      <c r="V740" s="1471"/>
      <c r="W740" s="1472"/>
      <c r="X740" s="1358">
        <f t="shared" si="8"/>
        <v>0</v>
      </c>
      <c r="Y740" s="1359"/>
      <c r="Z740" s="1359"/>
      <c r="AA740" s="1359"/>
      <c r="AB740" s="1360"/>
      <c r="AC740" s="1617">
        <f>IF(G740=0,0,'[1]Data Port'!$D$1466)</f>
        <v>0</v>
      </c>
      <c r="AD740" s="1618"/>
      <c r="AE740" s="1618"/>
      <c r="AF740" s="1618"/>
      <c r="AG740" s="1619"/>
      <c r="AH740" s="1361" t="str">
        <f t="shared" si="36"/>
        <v/>
      </c>
      <c r="AI740" s="1362"/>
      <c r="AJ740" s="1363"/>
      <c r="AK740" s="1355" t="s">
        <v>590</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95" t="str">
        <f>'[1]Data Port'!$D$1470</f>
        <v>3 Bedrooms</v>
      </c>
      <c r="C741" s="1356"/>
      <c r="D741" s="1356"/>
      <c r="E741" s="1356"/>
      <c r="F741" s="1357"/>
      <c r="G741" s="1364">
        <f>'[1]Data Port'!$D$1471</f>
        <v>0</v>
      </c>
      <c r="H741" s="1365"/>
      <c r="I741" s="1365"/>
      <c r="J741" s="1366"/>
      <c r="K741" s="1608">
        <f>'[1]Data Port'!$D$1472</f>
        <v>0</v>
      </c>
      <c r="L741" s="1609"/>
      <c r="M741" s="1609"/>
      <c r="N741" s="1610"/>
      <c r="O741" s="1470">
        <f>'[1]Data Port'!$D$1473</f>
        <v>0</v>
      </c>
      <c r="P741" s="1471"/>
      <c r="Q741" s="1471"/>
      <c r="R741" s="1471"/>
      <c r="S741" s="1472"/>
      <c r="T741" s="1470">
        <f>IF(G741=0,0,'[1]Data Port'!$D$1474)</f>
        <v>0</v>
      </c>
      <c r="U741" s="1471"/>
      <c r="V741" s="1471"/>
      <c r="W741" s="1472"/>
      <c r="X741" s="1358">
        <f t="shared" si="8"/>
        <v>0</v>
      </c>
      <c r="Y741" s="1359"/>
      <c r="Z741" s="1359"/>
      <c r="AA741" s="1359"/>
      <c r="AB741" s="1360"/>
      <c r="AC741" s="1617">
        <f>IF(G741=0,0,'[1]Data Port'!$D$1475)</f>
        <v>0</v>
      </c>
      <c r="AD741" s="1618"/>
      <c r="AE741" s="1618"/>
      <c r="AF741" s="1618"/>
      <c r="AG741" s="1619"/>
      <c r="AH741" s="1361" t="str">
        <f t="shared" si="36"/>
        <v/>
      </c>
      <c r="AI741" s="1362"/>
      <c r="AJ741" s="1363"/>
      <c r="AK741" s="1355" t="s">
        <v>590</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8"/>
      <c r="L742" s="1609"/>
      <c r="M742" s="1609"/>
      <c r="N742" s="1610"/>
      <c r="O742" s="1470"/>
      <c r="P742" s="1471"/>
      <c r="Q742" s="1471"/>
      <c r="R742" s="1471"/>
      <c r="S742" s="1472"/>
      <c r="T742" s="1470"/>
      <c r="U742" s="1471"/>
      <c r="V742" s="1471"/>
      <c r="W742" s="1472"/>
      <c r="X742" s="1358">
        <f t="shared" ref="X742:X751" si="39">O742+T742</f>
        <v>0</v>
      </c>
      <c r="Y742" s="1359"/>
      <c r="Z742" s="1359"/>
      <c r="AA742" s="1359"/>
      <c r="AB742" s="1360"/>
      <c r="AC742" s="1617"/>
      <c r="AD742" s="1618"/>
      <c r="AE742" s="1618"/>
      <c r="AF742" s="1618"/>
      <c r="AG742" s="1619"/>
      <c r="AH742" s="1361" t="str">
        <f t="shared" si="36"/>
        <v/>
      </c>
      <c r="AI742" s="1362"/>
      <c r="AJ742" s="1363"/>
      <c r="AK742" s="1355" t="s">
        <v>590</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8"/>
      <c r="L743" s="1609"/>
      <c r="M743" s="1609"/>
      <c r="N743" s="1610"/>
      <c r="O743" s="1470"/>
      <c r="P743" s="1471"/>
      <c r="Q743" s="1471"/>
      <c r="R743" s="1471"/>
      <c r="S743" s="1472"/>
      <c r="T743" s="1470"/>
      <c r="U743" s="1471"/>
      <c r="V743" s="1471"/>
      <c r="W743" s="1472"/>
      <c r="X743" s="1358">
        <f t="shared" si="39"/>
        <v>0</v>
      </c>
      <c r="Y743" s="1359"/>
      <c r="Z743" s="1359"/>
      <c r="AA743" s="1359"/>
      <c r="AB743" s="1360"/>
      <c r="AC743" s="1617"/>
      <c r="AD743" s="1618"/>
      <c r="AE743" s="1618"/>
      <c r="AF743" s="1618"/>
      <c r="AG743" s="1619"/>
      <c r="AH743" s="1361" t="str">
        <f t="shared" si="36"/>
        <v/>
      </c>
      <c r="AI743" s="1362"/>
      <c r="AJ743" s="1363"/>
      <c r="AK743" s="1355" t="s">
        <v>590</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8"/>
      <c r="L744" s="1609"/>
      <c r="M744" s="1609"/>
      <c r="N744" s="1610"/>
      <c r="O744" s="1470"/>
      <c r="P744" s="1471"/>
      <c r="Q744" s="1471"/>
      <c r="R744" s="1471"/>
      <c r="S744" s="1472"/>
      <c r="T744" s="1470"/>
      <c r="U744" s="1471"/>
      <c r="V744" s="1471"/>
      <c r="W744" s="1472"/>
      <c r="X744" s="1358">
        <f t="shared" si="39"/>
        <v>0</v>
      </c>
      <c r="Y744" s="1359"/>
      <c r="Z744" s="1359"/>
      <c r="AA744" s="1359"/>
      <c r="AB744" s="1360"/>
      <c r="AC744" s="1617"/>
      <c r="AD744" s="1618"/>
      <c r="AE744" s="1618"/>
      <c r="AF744" s="1618"/>
      <c r="AG744" s="1619"/>
      <c r="AH744" s="1361" t="str">
        <f t="shared" si="36"/>
        <v/>
      </c>
      <c r="AI744" s="1362"/>
      <c r="AJ744" s="1363"/>
      <c r="AK744" s="1355" t="s">
        <v>590</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8"/>
      <c r="L745" s="1609"/>
      <c r="M745" s="1609"/>
      <c r="N745" s="1610"/>
      <c r="O745" s="1470"/>
      <c r="P745" s="1471"/>
      <c r="Q745" s="1471"/>
      <c r="R745" s="1471"/>
      <c r="S745" s="1472"/>
      <c r="T745" s="1470"/>
      <c r="U745" s="1471"/>
      <c r="V745" s="1471"/>
      <c r="W745" s="1472"/>
      <c r="X745" s="1358">
        <f t="shared" si="39"/>
        <v>0</v>
      </c>
      <c r="Y745" s="1359"/>
      <c r="Z745" s="1359"/>
      <c r="AA745" s="1359"/>
      <c r="AB745" s="1360"/>
      <c r="AC745" s="1617"/>
      <c r="AD745" s="1618"/>
      <c r="AE745" s="1618"/>
      <c r="AF745" s="1618"/>
      <c r="AG745" s="1619"/>
      <c r="AH745" s="1361" t="str">
        <f t="shared" si="36"/>
        <v/>
      </c>
      <c r="AI745" s="1362"/>
      <c r="AJ745" s="1363"/>
      <c r="AK745" s="1355" t="s">
        <v>590</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8"/>
      <c r="L746" s="1609"/>
      <c r="M746" s="1609"/>
      <c r="N746" s="1610"/>
      <c r="O746" s="1470"/>
      <c r="P746" s="1471"/>
      <c r="Q746" s="1471"/>
      <c r="R746" s="1471"/>
      <c r="S746" s="1472"/>
      <c r="T746" s="1470"/>
      <c r="U746" s="1471"/>
      <c r="V746" s="1471"/>
      <c r="W746" s="1472"/>
      <c r="X746" s="1358">
        <f t="shared" si="39"/>
        <v>0</v>
      </c>
      <c r="Y746" s="1359"/>
      <c r="Z746" s="1359"/>
      <c r="AA746" s="1359"/>
      <c r="AB746" s="1360"/>
      <c r="AC746" s="1617"/>
      <c r="AD746" s="1618"/>
      <c r="AE746" s="1618"/>
      <c r="AF746" s="1618"/>
      <c r="AG746" s="1619"/>
      <c r="AH746" s="1361" t="str">
        <f t="shared" si="36"/>
        <v/>
      </c>
      <c r="AI746" s="1362"/>
      <c r="AJ746" s="1363"/>
      <c r="AK746" s="1355" t="s">
        <v>590</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8"/>
      <c r="L747" s="1609"/>
      <c r="M747" s="1609"/>
      <c r="N747" s="1610"/>
      <c r="O747" s="1470"/>
      <c r="P747" s="1471"/>
      <c r="Q747" s="1471"/>
      <c r="R747" s="1471"/>
      <c r="S747" s="1472"/>
      <c r="T747" s="1470"/>
      <c r="U747" s="1471"/>
      <c r="V747" s="1471"/>
      <c r="W747" s="1472"/>
      <c r="X747" s="1358">
        <f t="shared" si="39"/>
        <v>0</v>
      </c>
      <c r="Y747" s="1359"/>
      <c r="Z747" s="1359"/>
      <c r="AA747" s="1359"/>
      <c r="AB747" s="1360"/>
      <c r="AC747" s="1617"/>
      <c r="AD747" s="1618"/>
      <c r="AE747" s="1618"/>
      <c r="AF747" s="1618"/>
      <c r="AG747" s="1619"/>
      <c r="AH747" s="1361" t="str">
        <f t="shared" si="36"/>
        <v/>
      </c>
      <c r="AI747" s="1362"/>
      <c r="AJ747" s="1363"/>
      <c r="AK747" s="1355" t="s">
        <v>590</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8"/>
      <c r="L748" s="1609"/>
      <c r="M748" s="1609"/>
      <c r="N748" s="1610"/>
      <c r="O748" s="1470"/>
      <c r="P748" s="1471"/>
      <c r="Q748" s="1471"/>
      <c r="R748" s="1471"/>
      <c r="S748" s="1472"/>
      <c r="T748" s="1470"/>
      <c r="U748" s="1471"/>
      <c r="V748" s="1471"/>
      <c r="W748" s="1472"/>
      <c r="X748" s="1358">
        <f t="shared" si="39"/>
        <v>0</v>
      </c>
      <c r="Y748" s="1359"/>
      <c r="Z748" s="1359"/>
      <c r="AA748" s="1359"/>
      <c r="AB748" s="1360"/>
      <c r="AC748" s="1617"/>
      <c r="AD748" s="1618"/>
      <c r="AE748" s="1618"/>
      <c r="AF748" s="1618"/>
      <c r="AG748" s="1619"/>
      <c r="AH748" s="1361" t="str">
        <f t="shared" si="36"/>
        <v/>
      </c>
      <c r="AI748" s="1362"/>
      <c r="AJ748" s="1363"/>
      <c r="AK748" s="1355" t="s">
        <v>590</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8"/>
      <c r="L749" s="1609"/>
      <c r="M749" s="1609"/>
      <c r="N749" s="1610"/>
      <c r="O749" s="1470"/>
      <c r="P749" s="1471"/>
      <c r="Q749" s="1471"/>
      <c r="R749" s="1471"/>
      <c r="S749" s="1472"/>
      <c r="T749" s="1470"/>
      <c r="U749" s="1471"/>
      <c r="V749" s="1471"/>
      <c r="W749" s="1472"/>
      <c r="X749" s="1358">
        <f t="shared" si="39"/>
        <v>0</v>
      </c>
      <c r="Y749" s="1359"/>
      <c r="Z749" s="1359"/>
      <c r="AA749" s="1359"/>
      <c r="AB749" s="1360"/>
      <c r="AC749" s="1617"/>
      <c r="AD749" s="1618"/>
      <c r="AE749" s="1618"/>
      <c r="AF749" s="1618"/>
      <c r="AG749" s="1619"/>
      <c r="AH749" s="1361" t="str">
        <f t="shared" si="36"/>
        <v/>
      </c>
      <c r="AI749" s="1362"/>
      <c r="AJ749" s="1363"/>
      <c r="AK749" s="1355" t="s">
        <v>590</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8"/>
      <c r="L750" s="1609"/>
      <c r="M750" s="1609"/>
      <c r="N750" s="1610"/>
      <c r="O750" s="1470"/>
      <c r="P750" s="1471"/>
      <c r="Q750" s="1471"/>
      <c r="R750" s="1471"/>
      <c r="S750" s="1472"/>
      <c r="T750" s="1470"/>
      <c r="U750" s="1471"/>
      <c r="V750" s="1471"/>
      <c r="W750" s="1472"/>
      <c r="X750" s="1358">
        <f t="shared" si="39"/>
        <v>0</v>
      </c>
      <c r="Y750" s="1359"/>
      <c r="Z750" s="1359"/>
      <c r="AA750" s="1359"/>
      <c r="AB750" s="1360"/>
      <c r="AC750" s="1617"/>
      <c r="AD750" s="1618"/>
      <c r="AE750" s="1618"/>
      <c r="AF750" s="1618"/>
      <c r="AG750" s="1619"/>
      <c r="AH750" s="1361" t="str">
        <f t="shared" si="36"/>
        <v/>
      </c>
      <c r="AI750" s="1362"/>
      <c r="AJ750" s="1363"/>
      <c r="AK750" s="1355" t="s">
        <v>590</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8"/>
      <c r="L751" s="1609"/>
      <c r="M751" s="1609"/>
      <c r="N751" s="1610"/>
      <c r="O751" s="1470"/>
      <c r="P751" s="1471"/>
      <c r="Q751" s="1471"/>
      <c r="R751" s="1471"/>
      <c r="S751" s="1472"/>
      <c r="T751" s="1470"/>
      <c r="U751" s="1471"/>
      <c r="V751" s="1471"/>
      <c r="W751" s="1472"/>
      <c r="X751" s="1358">
        <f t="shared" si="39"/>
        <v>0</v>
      </c>
      <c r="Y751" s="1359"/>
      <c r="Z751" s="1359"/>
      <c r="AA751" s="1359"/>
      <c r="AB751" s="1360"/>
      <c r="AC751" s="1617"/>
      <c r="AD751" s="1618"/>
      <c r="AE751" s="1618"/>
      <c r="AF751" s="1618"/>
      <c r="AG751" s="1619"/>
      <c r="AH751" s="1361" t="str">
        <f t="shared" si="36"/>
        <v/>
      </c>
      <c r="AI751" s="1362"/>
      <c r="AJ751" s="1363"/>
      <c r="AK751" s="1355" t="s">
        <v>590</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8"/>
      <c r="L752" s="1609"/>
      <c r="M752" s="1609"/>
      <c r="N752" s="1610"/>
      <c r="O752" s="1470"/>
      <c r="P752" s="1471"/>
      <c r="Q752" s="1471"/>
      <c r="R752" s="1471"/>
      <c r="S752" s="1472"/>
      <c r="T752" s="1470"/>
      <c r="U752" s="1471"/>
      <c r="V752" s="1471"/>
      <c r="W752" s="1472"/>
      <c r="X752" s="1358">
        <f>O752+T752</f>
        <v>0</v>
      </c>
      <c r="Y752" s="1359"/>
      <c r="Z752" s="1359"/>
      <c r="AA752" s="1359"/>
      <c r="AB752" s="1360"/>
      <c r="AC752" s="1617"/>
      <c r="AD752" s="1618"/>
      <c r="AE752" s="1618"/>
      <c r="AF752" s="1618"/>
      <c r="AG752" s="1619"/>
      <c r="AH752" s="1361" t="str">
        <f t="shared" si="36"/>
        <v/>
      </c>
      <c r="AI752" s="1362"/>
      <c r="AJ752" s="1363"/>
      <c r="AK752" s="1355" t="s">
        <v>590</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10" t="s">
        <v>125</v>
      </c>
      <c r="C753" s="1411"/>
      <c r="D753" s="1411"/>
      <c r="E753" s="1411"/>
      <c r="F753" s="1413"/>
      <c r="G753" s="1722">
        <f>SUM(G718:G752)</f>
        <v>342</v>
      </c>
      <c r="H753" s="1723"/>
      <c r="I753" s="1723"/>
      <c r="J753" s="1724"/>
      <c r="K753" s="902" t="s">
        <v>124</v>
      </c>
      <c r="L753" s="5"/>
      <c r="M753" s="5"/>
      <c r="N753" s="46"/>
      <c r="O753" s="1358">
        <f>SUMPRODUCT(G718:G752,O718:O752)</f>
        <v>551337</v>
      </c>
      <c r="P753" s="1359"/>
      <c r="Q753" s="1359"/>
      <c r="R753" s="1359"/>
      <c r="S753" s="1360"/>
      <c r="T753"/>
      <c r="U753"/>
      <c r="V753"/>
      <c r="W753"/>
      <c r="X753" s="904" t="s">
        <v>899</v>
      </c>
      <c r="Y753" s="903"/>
      <c r="Z753" s="903"/>
      <c r="AA753" s="903"/>
      <c r="AB753" s="905"/>
      <c r="AC753" s="1621">
        <f>BH753</f>
        <v>0.58947368421052626</v>
      </c>
      <c r="AD753" s="1622"/>
      <c r="AE753" s="1622"/>
      <c r="AF753" s="1622"/>
      <c r="AG753" s="1623"/>
      <c r="AH753" s="1621">
        <f>IFERROR(BU753,"")</f>
        <v>0.58913422963636353</v>
      </c>
      <c r="AI753" s="1622"/>
      <c r="AJ753" s="1623"/>
      <c r="AK753"/>
      <c r="AL753"/>
      <c r="AM753"/>
      <c r="AN753"/>
      <c r="AO753"/>
      <c r="AP753" s="205"/>
      <c r="AQ753" s="205"/>
      <c r="AR753" s="205"/>
      <c r="AS753" s="205"/>
      <c r="AT753"/>
      <c r="AU753"/>
      <c r="AV753"/>
      <c r="AW753"/>
      <c r="AX753"/>
      <c r="AY753"/>
      <c r="AZ753" s="34"/>
      <c r="BA753" s="34"/>
      <c r="BB753" s="34"/>
      <c r="BC753" s="34"/>
      <c r="BE753" s="290" t="s">
        <v>898</v>
      </c>
      <c r="BF753" s="299">
        <f>SUM(BF718:BF752)</f>
        <v>342</v>
      </c>
      <c r="BG753" s="300">
        <f>SUM(BG718:BG752)</f>
        <v>0.99999999999999989</v>
      </c>
      <c r="BH753" s="300">
        <f>SUM(BH718:BH752)</f>
        <v>0.58947368421052626</v>
      </c>
      <c r="BI753"/>
      <c r="BJ753"/>
      <c r="BK753"/>
      <c r="BL753"/>
      <c r="BO753"/>
      <c r="BP753"/>
      <c r="BQ753"/>
      <c r="BR753"/>
      <c r="BS753" s="859">
        <f>SUM(BS718:BS752)</f>
        <v>342</v>
      </c>
      <c r="BT753" s="300">
        <f>SUM(BT718:BT752)</f>
        <v>0.99999999999999989</v>
      </c>
      <c r="BU753" s="300">
        <f>SUM(BU718:BU752)</f>
        <v>0.58913422963636353</v>
      </c>
      <c r="CI753" s="1351">
        <f>SUM(CI718:CJ752)</f>
        <v>35</v>
      </c>
      <c r="CJ753" s="1353"/>
      <c r="CM753" s="1351">
        <f>SUM(CM718:CN752)</f>
        <v>35</v>
      </c>
      <c r="CN753" s="1353"/>
      <c r="CP753" s="1351">
        <f>SUM(CP718:CT752)</f>
        <v>68</v>
      </c>
      <c r="CQ753" s="1352"/>
      <c r="CR753" s="1352"/>
      <c r="CS753" s="1352"/>
      <c r="CT753" s="1353"/>
      <c r="CU753" s="1368">
        <f>SUM(CU718:CY752)</f>
        <v>224</v>
      </c>
      <c r="CV753" s="1368"/>
      <c r="CW753" s="1368"/>
      <c r="CX753" s="1368"/>
      <c r="CY753" s="1368"/>
      <c r="CZ753" s="1368">
        <f>SUM(CZ718:DD752)</f>
        <v>50</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35</v>
      </c>
      <c r="DV753" s="1368"/>
      <c r="DW753" s="1368"/>
      <c r="DX753" s="1368"/>
      <c r="DY753" s="1368"/>
      <c r="DZ753" s="1368">
        <f>SUM(DZ718:ED752)</f>
        <v>0</v>
      </c>
      <c r="EA753" s="1368"/>
      <c r="EB753" s="1368"/>
      <c r="EC753" s="1368"/>
      <c r="ED753" s="1368"/>
      <c r="EE753" s="1368">
        <f>SUM(EE718:EI752)</f>
        <v>0</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1953</v>
      </c>
      <c r="FA753" s="1368"/>
      <c r="FB753" s="1368"/>
      <c r="FC753" s="1368"/>
      <c r="FD753" s="1368"/>
      <c r="FE753" s="1368">
        <f>SUM(FE718:FI752)</f>
        <v>4805</v>
      </c>
      <c r="FF753" s="1368"/>
      <c r="FG753" s="1368"/>
      <c r="FH753" s="1368"/>
      <c r="FI753" s="1368"/>
      <c r="FJ753" s="1368">
        <f>SUM(FJ718:FN752)</f>
        <v>4149</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5" customHeight="1">
      <c r="A754"/>
      <c r="B754" s="1726" t="s">
        <v>1891</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1858</v>
      </c>
      <c r="DO754" s="1351">
        <f>CP753+CU753+CZ753+DE753+DJ753+DO753</f>
        <v>342</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68</v>
      </c>
      <c r="CU755" s="3"/>
      <c r="CV755" s="3"/>
      <c r="CW755" s="3"/>
      <c r="CX755" s="3"/>
      <c r="CY755" s="861">
        <f>CU753*1</f>
        <v>224</v>
      </c>
      <c r="CZ755" s="3"/>
      <c r="DA755" s="3"/>
      <c r="DB755" s="3"/>
      <c r="DC755" s="3"/>
      <c r="DD755" s="861">
        <f>CZ753*2</f>
        <v>100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392</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368">
        <f>DU755</f>
        <v>392</v>
      </c>
      <c r="P756" s="1368"/>
      <c r="Q756" s="1368"/>
      <c r="R756" s="1368"/>
      <c r="S756" s="969"/>
      <c r="T756" s="969"/>
      <c r="U756" s="118" t="s">
        <v>1890</v>
      </c>
      <c r="V756" s="1032"/>
      <c r="W756" s="1032"/>
      <c r="X756" s="1032"/>
      <c r="Y756" s="1033"/>
      <c r="Z756" s="1033"/>
      <c r="AA756" s="1033"/>
      <c r="AB756" s="1033"/>
      <c r="AC756" s="1032"/>
      <c r="AD756" s="1032"/>
      <c r="AE756" s="1032"/>
      <c r="AF756" s="1032"/>
      <c r="AG756" s="1718"/>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590</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2087</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2088</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388</v>
      </c>
      <c r="K769" s="1497"/>
      <c r="L769" s="1497"/>
      <c r="M769" s="1497"/>
      <c r="N769" s="1498"/>
      <c r="O769" s="1606" t="s">
        <v>285</v>
      </c>
      <c r="P769" s="1606"/>
      <c r="Q769" s="1606"/>
      <c r="R769" s="1606"/>
      <c r="S769" s="1606"/>
      <c r="T769" s="1513" t="s">
        <v>1677</v>
      </c>
      <c r="U769" s="1514"/>
      <c r="V769" s="1514"/>
      <c r="W769" s="1515"/>
      <c r="X769" s="1496" t="s">
        <v>446</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6"/>
      <c r="P770" s="1606"/>
      <c r="Q770" s="1606"/>
      <c r="R770" s="1606"/>
      <c r="S770" s="1606"/>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6"/>
      <c r="P771" s="1606"/>
      <c r="Q771" s="1606"/>
      <c r="R771" s="1606"/>
      <c r="S771" s="1606"/>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6"/>
      <c r="P772" s="1606"/>
      <c r="Q772" s="1606"/>
      <c r="R772" s="1606"/>
      <c r="S772" s="1606"/>
      <c r="T772" s="1614"/>
      <c r="U772" s="1615"/>
      <c r="V772" s="1615"/>
      <c r="W772" s="1616"/>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tr">
        <f>'[1]Data Port'!$D$1013</f>
        <v>2 Bedroom</v>
      </c>
      <c r="K773" s="1356"/>
      <c r="L773" s="1356"/>
      <c r="M773" s="1356"/>
      <c r="N773" s="1357"/>
      <c r="O773" s="1466">
        <f>'[1]Data Port'!$D$1014</f>
        <v>1</v>
      </c>
      <c r="P773" s="1466"/>
      <c r="Q773" s="1466"/>
      <c r="R773" s="1466"/>
      <c r="S773" s="1466"/>
      <c r="T773" s="1608">
        <f>'[1]Data Port'!$D$1015</f>
        <v>876</v>
      </c>
      <c r="U773" s="1609"/>
      <c r="V773" s="1609"/>
      <c r="W773" s="1610"/>
      <c r="X773" s="1470">
        <f>'[1]Data Port'!$D$1016</f>
        <v>1702.2719999999999</v>
      </c>
      <c r="Y773" s="1471"/>
      <c r="Z773" s="1471"/>
      <c r="AA773" s="1471"/>
      <c r="AB773" s="1472"/>
      <c r="AC773" s="1358">
        <f>X773*O773</f>
        <v>1702.2719999999999</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t="str">
        <f>'[1]Data Port'!$D$1018</f>
        <v>2 Bedroom</v>
      </c>
      <c r="K774" s="1356"/>
      <c r="L774" s="1356"/>
      <c r="M774" s="1356"/>
      <c r="N774" s="1357"/>
      <c r="O774" s="1466">
        <f>'[1]Data Port'!$D$1019</f>
        <v>1</v>
      </c>
      <c r="P774" s="1466"/>
      <c r="Q774" s="1466"/>
      <c r="R774" s="1466"/>
      <c r="S774" s="1466"/>
      <c r="T774" s="1608">
        <f>'[1]Data Port'!$D$1020</f>
        <v>876</v>
      </c>
      <c r="U774" s="1609"/>
      <c r="V774" s="1609"/>
      <c r="W774" s="1610"/>
      <c r="X774" s="1470">
        <f>'[1]Data Port'!$D$1021</f>
        <v>1702.2719999999999</v>
      </c>
      <c r="Y774" s="1471"/>
      <c r="Z774" s="1471"/>
      <c r="AA774" s="1471"/>
      <c r="AB774" s="1472"/>
      <c r="AC774" s="1358">
        <f>X774*O774</f>
        <v>1702.2719999999999</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t="str">
        <f>'[1]Data Port'!$D$1023</f>
        <v>2 Bedroom</v>
      </c>
      <c r="K775" s="1356"/>
      <c r="L775" s="1356"/>
      <c r="M775" s="1356"/>
      <c r="N775" s="1357"/>
      <c r="O775" s="1466">
        <f>'[1]Data Port'!$D$1024</f>
        <v>1</v>
      </c>
      <c r="P775" s="1466"/>
      <c r="Q775" s="1466"/>
      <c r="R775" s="1466"/>
      <c r="S775" s="1466"/>
      <c r="T775" s="1608">
        <f>'[1]Data Port'!$D$1025</f>
        <v>876</v>
      </c>
      <c r="U775" s="1609"/>
      <c r="V775" s="1609"/>
      <c r="W775" s="1610"/>
      <c r="X775" s="1470">
        <f>'[1]Data Port'!$D$1026</f>
        <v>1702.2719999999999</v>
      </c>
      <c r="Y775" s="1471"/>
      <c r="Z775" s="1471"/>
      <c r="AA775" s="1471"/>
      <c r="AB775" s="1472"/>
      <c r="AC775" s="1358">
        <f>X775*O775</f>
        <v>1702.2719999999999</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t="str">
        <f>'[1]Data Port'!$D$1028</f>
        <v>2 Bedroom</v>
      </c>
      <c r="K776" s="1356"/>
      <c r="L776" s="1356"/>
      <c r="M776" s="1356"/>
      <c r="N776" s="1357"/>
      <c r="O776" s="1466">
        <f>'[1]Data Port'!$D$1029</f>
        <v>1</v>
      </c>
      <c r="P776" s="1466"/>
      <c r="Q776" s="1466"/>
      <c r="R776" s="1466"/>
      <c r="S776" s="1466"/>
      <c r="T776" s="1608">
        <f>'[1]Data Port'!$D$1030</f>
        <v>876</v>
      </c>
      <c r="U776" s="1609"/>
      <c r="V776" s="1609"/>
      <c r="W776" s="1610"/>
      <c r="X776" s="1470">
        <f>'[1]Data Port'!$D$1031</f>
        <v>0</v>
      </c>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10" t="s">
        <v>125</v>
      </c>
      <c r="K777" s="1411"/>
      <c r="L777" s="1411"/>
      <c r="M777" s="1411"/>
      <c r="N777" s="1413"/>
      <c r="O777" s="1335">
        <f>SUM(O773:S776)</f>
        <v>4</v>
      </c>
      <c r="P777" s="1336"/>
      <c r="Q777" s="1336"/>
      <c r="R777" s="1336"/>
      <c r="S777" s="1337"/>
      <c r="X777" s="1410" t="s">
        <v>124</v>
      </c>
      <c r="Y777" s="1411"/>
      <c r="Z777" s="1411"/>
      <c r="AA777" s="1411"/>
      <c r="AB777" s="1413"/>
      <c r="AC777" s="1358">
        <f>SUM(AC773:AG776)</f>
        <v>5106.8159999999998</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0</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2.95" customHeight="1">
      <c r="B779" s="56"/>
      <c r="C779" s="56"/>
      <c r="D779" s="56"/>
      <c r="E779" s="56"/>
      <c r="F779" s="56"/>
      <c r="G779" s="6"/>
      <c r="H779" s="6"/>
      <c r="I779" s="6"/>
      <c r="J779" s="1391" t="s">
        <v>668</v>
      </c>
      <c r="K779" s="1391"/>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388</v>
      </c>
      <c r="K783" s="1497"/>
      <c r="L783" s="1497"/>
      <c r="M783" s="1497"/>
      <c r="N783" s="1498"/>
      <c r="O783" s="1606" t="s">
        <v>285</v>
      </c>
      <c r="P783" s="1606"/>
      <c r="Q783" s="1606"/>
      <c r="R783" s="1606"/>
      <c r="S783" s="1606"/>
      <c r="T783" s="1513" t="s">
        <v>1677</v>
      </c>
      <c r="U783" s="1514"/>
      <c r="V783" s="1514"/>
      <c r="W783" s="1515"/>
      <c r="X783" s="1496" t="s">
        <v>446</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6"/>
      <c r="P784" s="1606"/>
      <c r="Q784" s="1606"/>
      <c r="R784" s="1606"/>
      <c r="S784" s="1606"/>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6"/>
      <c r="P785" s="1606"/>
      <c r="Q785" s="1606"/>
      <c r="R785" s="1606"/>
      <c r="S785" s="1606"/>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6"/>
      <c r="P786" s="1606"/>
      <c r="Q786" s="1606"/>
      <c r="R786" s="1606"/>
      <c r="S786" s="1606"/>
      <c r="T786" s="1614"/>
      <c r="U786" s="1615"/>
      <c r="V786" s="1615"/>
      <c r="W786" s="1616"/>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6"/>
      <c r="P787" s="1466"/>
      <c r="Q787" s="1466"/>
      <c r="R787" s="1466"/>
      <c r="S787" s="1466"/>
      <c r="T787" s="1608"/>
      <c r="U787" s="1609"/>
      <c r="V787" s="1609"/>
      <c r="W787" s="1610"/>
      <c r="X787" s="1470"/>
      <c r="Y787" s="1471"/>
      <c r="Z787" s="1471"/>
      <c r="AA787" s="1471"/>
      <c r="AB787" s="1472"/>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6"/>
      <c r="P788" s="1466"/>
      <c r="Q788" s="1466"/>
      <c r="R788" s="1466"/>
      <c r="S788" s="1466"/>
      <c r="T788" s="1608"/>
      <c r="U788" s="1609"/>
      <c r="V788" s="1609"/>
      <c r="W788" s="1610"/>
      <c r="X788" s="1470"/>
      <c r="Y788" s="1471"/>
      <c r="Z788" s="1471"/>
      <c r="AA788" s="1471"/>
      <c r="AB788" s="1472"/>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6"/>
      <c r="P789" s="1466"/>
      <c r="Q789" s="1466"/>
      <c r="R789" s="1466"/>
      <c r="S789" s="1466"/>
      <c r="T789" s="1608"/>
      <c r="U789" s="1609"/>
      <c r="V789" s="1609"/>
      <c r="W789" s="1610"/>
      <c r="X789" s="1470"/>
      <c r="Y789" s="1471"/>
      <c r="Z789" s="1471"/>
      <c r="AA789" s="1471"/>
      <c r="AB789" s="1472"/>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6"/>
      <c r="P790" s="1466"/>
      <c r="Q790" s="1466"/>
      <c r="R790" s="1466"/>
      <c r="S790" s="1466"/>
      <c r="T790" s="1608"/>
      <c r="U790" s="1609"/>
      <c r="V790" s="1609"/>
      <c r="W790" s="1610"/>
      <c r="X790" s="1470"/>
      <c r="Y790" s="1471"/>
      <c r="Z790" s="1471"/>
      <c r="AA790" s="1471"/>
      <c r="AB790" s="1472"/>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6"/>
      <c r="P791" s="1466"/>
      <c r="Q791" s="1466"/>
      <c r="R791" s="1466"/>
      <c r="S791" s="1466"/>
      <c r="T791" s="1608"/>
      <c r="U791" s="1609"/>
      <c r="V791" s="1609"/>
      <c r="W791" s="1610"/>
      <c r="X791" s="1470"/>
      <c r="Y791" s="1471"/>
      <c r="Z791" s="1471"/>
      <c r="AA791" s="1471"/>
      <c r="AB791" s="1472"/>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6"/>
      <c r="P792" s="1466"/>
      <c r="Q792" s="1466"/>
      <c r="R792" s="1466"/>
      <c r="S792" s="1466"/>
      <c r="T792" s="1608"/>
      <c r="U792" s="1609"/>
      <c r="V792" s="1609"/>
      <c r="W792" s="1610"/>
      <c r="X792" s="1470"/>
      <c r="Y792" s="1471"/>
      <c r="Z792" s="1471"/>
      <c r="AA792" s="1471"/>
      <c r="AB792" s="1472"/>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6"/>
      <c r="P793" s="1466"/>
      <c r="Q793" s="1466"/>
      <c r="R793" s="1466"/>
      <c r="S793" s="1466"/>
      <c r="T793" s="1608"/>
      <c r="U793" s="1609"/>
      <c r="V793" s="1609"/>
      <c r="W793" s="1610"/>
      <c r="X793" s="1470"/>
      <c r="Y793" s="1471"/>
      <c r="Z793" s="1471"/>
      <c r="AA793" s="1471"/>
      <c r="AB793" s="1472"/>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6"/>
      <c r="P794" s="1466"/>
      <c r="Q794" s="1466"/>
      <c r="R794" s="1466"/>
      <c r="S794" s="1466"/>
      <c r="T794" s="1608"/>
      <c r="U794" s="1609"/>
      <c r="V794" s="1609"/>
      <c r="W794" s="1610"/>
      <c r="X794" s="1470"/>
      <c r="Y794" s="1471"/>
      <c r="Z794" s="1471"/>
      <c r="AA794" s="1471"/>
      <c r="AB794" s="1472"/>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6"/>
      <c r="P795" s="1466"/>
      <c r="Q795" s="1466"/>
      <c r="R795" s="1466"/>
      <c r="S795" s="1466"/>
      <c r="T795" s="1608"/>
      <c r="U795" s="1609"/>
      <c r="V795" s="1609"/>
      <c r="W795" s="1610"/>
      <c r="X795" s="1470"/>
      <c r="Y795" s="1471"/>
      <c r="Z795" s="1471"/>
      <c r="AA795" s="1471"/>
      <c r="AB795" s="1472"/>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6"/>
      <c r="P796" s="1466"/>
      <c r="Q796" s="1466"/>
      <c r="R796" s="1466"/>
      <c r="S796" s="1466"/>
      <c r="T796" s="1608"/>
      <c r="U796" s="1609"/>
      <c r="V796" s="1609"/>
      <c r="W796" s="1610"/>
      <c r="X796" s="1470"/>
      <c r="Y796" s="1471"/>
      <c r="Z796" s="1471"/>
      <c r="AA796" s="1471"/>
      <c r="AB796" s="1472"/>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10" t="s">
        <v>125</v>
      </c>
      <c r="K797" s="1411"/>
      <c r="L797" s="1411"/>
      <c r="M797" s="1411"/>
      <c r="N797" s="1413"/>
      <c r="O797" s="1628">
        <f>SUM(O787:S796)</f>
        <v>0</v>
      </c>
      <c r="P797" s="1628"/>
      <c r="Q797" s="1628"/>
      <c r="R797" s="1628"/>
      <c r="S797" s="1628"/>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556443.81599999999</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6677325.7919999994</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68</v>
      </c>
      <c r="CQ802" s="1349"/>
      <c r="CR802" s="1349"/>
      <c r="CS802" s="1349"/>
      <c r="CT802" s="1350"/>
      <c r="CU802" s="1348">
        <f>CU753+CU777+CU797</f>
        <v>224</v>
      </c>
      <c r="CV802" s="1349"/>
      <c r="CW802" s="1349"/>
      <c r="CX802" s="1349"/>
      <c r="CY802" s="1350"/>
      <c r="CZ802" s="1348">
        <f>CZ753+CZ777+CZ797</f>
        <v>50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392</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0</v>
      </c>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f>'[1]Data Port'!$D$1054</f>
        <v>41520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f>'[1]Data Port'!$D$1055</f>
        <v>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f>'[1]Data Port'!$D$1056</f>
        <v>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6" t="str">
        <f>'[1]Data Port'!$D$1058</f>
        <v>Parking-Motorcycle parking-Storage-Master Service - Internet</v>
      </c>
      <c r="Q816" s="1647"/>
      <c r="R816" s="1647"/>
      <c r="S816" s="1647"/>
      <c r="T816" s="1647"/>
      <c r="U816" s="1647"/>
      <c r="V816" s="1647"/>
      <c r="W816" s="1647"/>
      <c r="X816" s="1647"/>
      <c r="Y816" s="1648"/>
      <c r="Z816" s="1477">
        <f>'[1]Data Port'!$D$1057</f>
        <v>198483.15789473685</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240003.15789473685</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4">
        <f>Z817+Y801+Z809</f>
        <v>6917328.9498947365</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0" t="s">
        <v>126</v>
      </c>
      <c r="N823" s="1690"/>
      <c r="O823" s="1690"/>
      <c r="P823" s="1691"/>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2"/>
      <c r="N824" s="1692"/>
      <c r="O824" s="1692"/>
      <c r="P824" s="1693"/>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7" t="s">
        <v>40</v>
      </c>
      <c r="D825" s="1485"/>
      <c r="E825" s="1485"/>
      <c r="F825" s="1485"/>
      <c r="G825" s="1485"/>
      <c r="H825" s="1485"/>
      <c r="I825" s="48"/>
      <c r="J825" s="48"/>
      <c r="K825" s="48"/>
      <c r="L825" s="49"/>
      <c r="M825" s="1604">
        <f>'[1]Data Port'!$D$1063</f>
        <v>18</v>
      </c>
      <c r="N825" s="1604"/>
      <c r="O825" s="1604"/>
      <c r="P825" s="1604"/>
      <c r="Q825" s="1604">
        <f>'[1]Data Port'!$D$1072</f>
        <v>21</v>
      </c>
      <c r="R825" s="1604"/>
      <c r="S825" s="1604"/>
      <c r="T825" s="1604"/>
      <c r="U825" s="1604">
        <f>'[1]Data Port'!$D$1081</f>
        <v>26</v>
      </c>
      <c r="V825" s="1604"/>
      <c r="W825" s="1604"/>
      <c r="X825" s="1604"/>
      <c r="Y825" s="1604">
        <f>'[1]Data Port'!$D$1090</f>
        <v>0</v>
      </c>
      <c r="Z825" s="1604"/>
      <c r="AA825" s="1604"/>
      <c r="AB825" s="1604"/>
      <c r="AC825" s="1492">
        <f>'[1]Data Port'!$D$1099</f>
        <v>0</v>
      </c>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3"/>
      <c r="E826" s="1443"/>
      <c r="F826" s="1443"/>
      <c r="G826" s="1443"/>
      <c r="H826" s="1443"/>
      <c r="I826" s="5"/>
      <c r="J826" s="5"/>
      <c r="K826" s="5"/>
      <c r="L826" s="46"/>
      <c r="M826" s="1604">
        <f>'[1]Data Port'!$D$1064</f>
        <v>25</v>
      </c>
      <c r="N826" s="1604"/>
      <c r="O826" s="1604"/>
      <c r="P826" s="1604"/>
      <c r="Q826" s="1604">
        <f>'[1]Data Port'!$D$1073</f>
        <v>30</v>
      </c>
      <c r="R826" s="1604"/>
      <c r="S826" s="1604"/>
      <c r="T826" s="1604"/>
      <c r="U826" s="1604">
        <f>'[1]Data Port'!$D$1082</f>
        <v>38</v>
      </c>
      <c r="V826" s="1604"/>
      <c r="W826" s="1604"/>
      <c r="X826" s="1604"/>
      <c r="Y826" s="1604">
        <f>'[1]Data Port'!$D$1091</f>
        <v>0</v>
      </c>
      <c r="Z826" s="1604"/>
      <c r="AA826" s="1604"/>
      <c r="AB826" s="1604"/>
      <c r="AC826" s="1492">
        <f>'[1]Data Port'!$D$1100</f>
        <v>0</v>
      </c>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3"/>
      <c r="E827" s="1443"/>
      <c r="F827" s="1443"/>
      <c r="G827" s="1443"/>
      <c r="H827" s="1443"/>
      <c r="I827" s="60"/>
      <c r="J827" s="60"/>
      <c r="K827" s="60"/>
      <c r="L827" s="61"/>
      <c r="M827" s="1604">
        <f>'[1]Data Port'!$D$1065</f>
        <v>11</v>
      </c>
      <c r="N827" s="1604"/>
      <c r="O827" s="1604"/>
      <c r="P827" s="1604"/>
      <c r="Q827" s="1604">
        <f>'[1]Data Port'!$D$1074</f>
        <v>13</v>
      </c>
      <c r="R827" s="1604"/>
      <c r="S827" s="1604"/>
      <c r="T827" s="1604"/>
      <c r="U827" s="1604">
        <f>'[1]Data Port'!$D$1083</f>
        <v>19</v>
      </c>
      <c r="V827" s="1604"/>
      <c r="W827" s="1604"/>
      <c r="X827" s="1604"/>
      <c r="Y827" s="1604">
        <f>'[1]Data Port'!$D$1092</f>
        <v>0</v>
      </c>
      <c r="Z827" s="1604"/>
      <c r="AA827" s="1604"/>
      <c r="AB827" s="1604"/>
      <c r="AC827" s="1492">
        <f>'[1]Data Port'!$D$1101</f>
        <v>0</v>
      </c>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761</v>
      </c>
      <c r="D828" s="1443"/>
      <c r="E828" s="1443"/>
      <c r="F828" s="1443"/>
      <c r="G828" s="1443"/>
      <c r="H828" s="1443"/>
      <c r="I828" s="60"/>
      <c r="J828" s="60"/>
      <c r="K828" s="60"/>
      <c r="L828" s="61"/>
      <c r="M828" s="1604">
        <f>'[1]Data Port'!$D$1066</f>
        <v>29</v>
      </c>
      <c r="N828" s="1604"/>
      <c r="O828" s="1604"/>
      <c r="P828" s="1604"/>
      <c r="Q828" s="1604">
        <f>'[1]Data Port'!$D$1075</f>
        <v>37</v>
      </c>
      <c r="R828" s="1604"/>
      <c r="S828" s="1604"/>
      <c r="T828" s="1604"/>
      <c r="U828" s="1604">
        <f>'[1]Data Port'!$D$1084</f>
        <v>56</v>
      </c>
      <c r="V828" s="1604"/>
      <c r="W828" s="1604"/>
      <c r="X828" s="1604"/>
      <c r="Y828" s="1604">
        <f>'[1]Data Port'!$D$1093</f>
        <v>0</v>
      </c>
      <c r="Z828" s="1604"/>
      <c r="AA828" s="1604"/>
      <c r="AB828" s="1604"/>
      <c r="AC828" s="1492">
        <f>'[1]Data Port'!$D$1102</f>
        <v>0</v>
      </c>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458</v>
      </c>
      <c r="D829" s="1443"/>
      <c r="E829" s="1443"/>
      <c r="F829" s="1443"/>
      <c r="G829" s="1443"/>
      <c r="H829" s="1443"/>
      <c r="I829" s="60"/>
      <c r="J829" s="60"/>
      <c r="K829" s="60"/>
      <c r="L829" s="61"/>
      <c r="M829" s="1604"/>
      <c r="N829" s="1604"/>
      <c r="O829" s="1604"/>
      <c r="P829" s="1604"/>
      <c r="Q829" s="1604"/>
      <c r="R829" s="1604"/>
      <c r="S829" s="1604"/>
      <c r="T829" s="1604"/>
      <c r="U829" s="1604"/>
      <c r="V829" s="1604"/>
      <c r="W829" s="1604"/>
      <c r="X829" s="1604"/>
      <c r="Y829" s="1604"/>
      <c r="Z829" s="1604"/>
      <c r="AA829" s="1604"/>
      <c r="AB829" s="1604"/>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5" t="s">
        <v>782</v>
      </c>
      <c r="D830" s="1443"/>
      <c r="E830" s="1443"/>
      <c r="F830" s="1443"/>
      <c r="G830" s="1443"/>
      <c r="H830" s="1443"/>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6" t="s">
        <v>334</v>
      </c>
      <c r="G831" s="1647"/>
      <c r="H831" s="1647"/>
      <c r="I831" s="1647"/>
      <c r="J831" s="1647"/>
      <c r="K831" s="1647"/>
      <c r="L831" s="1647"/>
      <c r="M831" s="1604"/>
      <c r="N831" s="1604"/>
      <c r="O831" s="1604"/>
      <c r="P831" s="1604"/>
      <c r="Q831" s="1604"/>
      <c r="R831" s="1604"/>
      <c r="S831" s="1604"/>
      <c r="T831" s="1604"/>
      <c r="U831" s="1604"/>
      <c r="V831" s="1604"/>
      <c r="W831" s="1604"/>
      <c r="X831" s="1604"/>
      <c r="Y831" s="1604"/>
      <c r="Z831" s="1604"/>
      <c r="AA831" s="1604"/>
      <c r="AB831" s="1604"/>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0" t="s">
        <v>124</v>
      </c>
      <c r="D832" s="1411"/>
      <c r="E832" s="1411"/>
      <c r="F832" s="1411"/>
      <c r="G832" s="1411"/>
      <c r="H832" s="1411"/>
      <c r="I832" s="1411"/>
      <c r="J832" s="1411"/>
      <c r="K832" s="1411"/>
      <c r="L832" s="1413"/>
      <c r="M832" s="1653">
        <f>SUM(M825:P831)</f>
        <v>83</v>
      </c>
      <c r="N832" s="1653"/>
      <c r="O832" s="1653"/>
      <c r="P832" s="1653"/>
      <c r="Q832" s="1653">
        <f>SUM(Q825:T831)</f>
        <v>101</v>
      </c>
      <c r="R832" s="1653"/>
      <c r="S832" s="1653"/>
      <c r="T832" s="1653"/>
      <c r="U832" s="1653">
        <f>SUM(U825:X831)</f>
        <v>139</v>
      </c>
      <c r="V832" s="1653"/>
      <c r="W832" s="1653"/>
      <c r="X832" s="1653"/>
      <c r="Y832" s="1653">
        <f>SUM(Y825:AB831)</f>
        <v>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9" t="str">
        <f>'[1]Data Port'!$D$1107</f>
        <v>Housing Authority of Long Beach</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2">
        <f>'[1]Data Port'!$G$1109</f>
        <v>6000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2">
        <f>'[1]Data Port'!$G$1110</f>
        <v>5000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2">
        <f>'[1]Data Port'!$G$1111</f>
        <v>20000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2">
        <f>'[1]Data Port'!$G$1112</f>
        <v>88800</v>
      </c>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5" customHeight="1">
      <c r="J846" s="45" t="s">
        <v>170</v>
      </c>
      <c r="K846" s="5"/>
      <c r="L846" s="5"/>
      <c r="M846" s="1646" t="str">
        <f>'[1]Data Port'!$B$1113</f>
        <v>Other: Misc. Admin (Phone, Cable, Credit and Bank Checks)</v>
      </c>
      <c r="N846" s="1647"/>
      <c r="O846" s="1647"/>
      <c r="P846" s="1647"/>
      <c r="Q846" s="1647"/>
      <c r="R846" s="1647"/>
      <c r="S846" s="1647"/>
      <c r="T846" s="1647"/>
      <c r="U846" s="1647"/>
      <c r="V846" s="1648"/>
      <c r="W846" s="1642">
        <f>'[1]Data Port'!$G$1113</f>
        <v>10000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4">
        <f>SUM(W842:W846)</f>
        <v>129800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8"/>
      <c r="BH848" s="1638"/>
      <c r="BI848" s="1638"/>
      <c r="BJ848" s="1638"/>
      <c r="BK848" s="1638"/>
      <c r="BL848" s="1638"/>
    </row>
    <row r="849" spans="3:55" ht="12.95" customHeight="1">
      <c r="C849" s="2" t="s">
        <v>344</v>
      </c>
      <c r="J849" s="1410" t="s">
        <v>345</v>
      </c>
      <c r="K849" s="1411"/>
      <c r="L849" s="1411"/>
      <c r="M849" s="1411"/>
      <c r="N849" s="1411"/>
      <c r="O849" s="1411"/>
      <c r="P849" s="1411"/>
      <c r="Q849" s="1411"/>
      <c r="R849" s="1411"/>
      <c r="S849" s="1411"/>
      <c r="T849" s="1411"/>
      <c r="U849" s="1411"/>
      <c r="V849" s="1413"/>
      <c r="W849" s="1477">
        <f>'[1]Data Port'!$G$1115</f>
        <v>262851</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7">
        <f>'[1]Data Port'!$G$1117</f>
        <v>4152</v>
      </c>
      <c r="X851" s="1657"/>
      <c r="Y851" s="1657"/>
      <c r="Z851" s="1657"/>
      <c r="AA851" s="1657"/>
      <c r="AB851" s="1657"/>
      <c r="AC851" s="1657"/>
      <c r="AZ851" s="1624"/>
      <c r="BA851" s="1624"/>
      <c r="BB851" s="14"/>
      <c r="BC851" s="14"/>
    </row>
    <row r="852" spans="3:55" ht="12.95" customHeight="1">
      <c r="J852" s="45" t="s">
        <v>351</v>
      </c>
      <c r="K852" s="5"/>
      <c r="L852" s="5"/>
      <c r="M852" s="5"/>
      <c r="N852" s="5"/>
      <c r="O852" s="5"/>
      <c r="P852" s="5"/>
      <c r="Q852" s="5"/>
      <c r="R852" s="5"/>
      <c r="S852" s="5"/>
      <c r="T852" s="5"/>
      <c r="U852" s="5"/>
      <c r="V852" s="46"/>
      <c r="W852" s="1657">
        <f>'[1]Data Port'!$G$1118</f>
        <v>0</v>
      </c>
      <c r="X852" s="1657"/>
      <c r="Y852" s="1657"/>
      <c r="Z852" s="1657"/>
      <c r="AA852" s="1657"/>
      <c r="AB852" s="1657"/>
      <c r="AC852" s="1657"/>
      <c r="AZ852" s="30"/>
      <c r="BA852" s="30"/>
      <c r="BB852" s="14"/>
      <c r="BC852" s="14"/>
    </row>
    <row r="853" spans="3:55" ht="12.95" customHeight="1">
      <c r="J853" s="45" t="s">
        <v>458</v>
      </c>
      <c r="K853" s="5"/>
      <c r="L853" s="5"/>
      <c r="M853" s="5"/>
      <c r="N853" s="5"/>
      <c r="O853" s="5"/>
      <c r="P853" s="5"/>
      <c r="Q853" s="5"/>
      <c r="R853" s="5"/>
      <c r="S853" s="5"/>
      <c r="T853" s="5"/>
      <c r="U853" s="5"/>
      <c r="V853" s="46"/>
      <c r="W853" s="1657">
        <f>'[1]Data Port'!$G$1119</f>
        <v>103800</v>
      </c>
      <c r="X853" s="1657"/>
      <c r="Y853" s="1657"/>
      <c r="Z853" s="1657"/>
      <c r="AA853" s="1657"/>
      <c r="AB853" s="1657"/>
      <c r="AC853" s="1657"/>
      <c r="AZ853" s="30"/>
      <c r="BA853" s="30"/>
      <c r="BB853" s="14"/>
      <c r="BC853" s="14"/>
    </row>
    <row r="854" spans="3:55" ht="12.95" customHeight="1">
      <c r="J854" s="62" t="s">
        <v>619</v>
      </c>
      <c r="K854" s="5"/>
      <c r="L854" s="5"/>
      <c r="M854" s="5"/>
      <c r="N854" s="5"/>
      <c r="O854" s="5"/>
      <c r="P854" s="5"/>
      <c r="Q854" s="5"/>
      <c r="R854" s="5"/>
      <c r="S854" s="5"/>
      <c r="T854" s="5"/>
      <c r="U854" s="5"/>
      <c r="V854" s="46"/>
      <c r="W854" s="1657">
        <f>'[1]Data Port'!$G$1120</f>
        <v>207600</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272</v>
      </c>
      <c r="W855" s="1658">
        <f>SUM(W851:W854)</f>
        <v>315552</v>
      </c>
      <c r="X855" s="1658"/>
      <c r="Y855" s="1658"/>
      <c r="Z855" s="1658"/>
      <c r="AA855" s="1658"/>
      <c r="AB855" s="1658"/>
      <c r="AC855" s="1658"/>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54">
        <f>'[1]Data Port'!$G$1123</f>
        <v>259000</v>
      </c>
      <c r="X857" s="1655"/>
      <c r="Y857" s="1655"/>
      <c r="Z857" s="1655"/>
      <c r="AA857" s="1655"/>
      <c r="AB857" s="1655"/>
      <c r="AC857" s="1656"/>
      <c r="AD857" s="528"/>
      <c r="AZ857" s="34"/>
      <c r="BA857" s="34"/>
      <c r="BB857" s="34"/>
      <c r="BC857" s="34"/>
    </row>
    <row r="858" spans="3:55" ht="12.95" customHeight="1">
      <c r="C858" s="2" t="s">
        <v>347</v>
      </c>
      <c r="J858" s="121" t="s">
        <v>1653</v>
      </c>
      <c r="K858" s="5"/>
      <c r="L858" s="5"/>
      <c r="M858" s="5"/>
      <c r="N858" s="5"/>
      <c r="O858" s="5"/>
      <c r="P858" s="5"/>
      <c r="Q858" s="5"/>
      <c r="R858" s="5"/>
      <c r="S858" s="5"/>
      <c r="T858" s="1640">
        <f>'[1]Data Port'!$G$1124</f>
        <v>3</v>
      </c>
      <c r="U858" s="1603"/>
      <c r="V858" s="1641"/>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4">
        <f>'[1]Data Port'!$G$1125</f>
        <v>135000</v>
      </c>
      <c r="X859" s="1655"/>
      <c r="Y859" s="1655"/>
      <c r="Z859" s="1655"/>
      <c r="AA859" s="1655"/>
      <c r="AB859" s="1655"/>
      <c r="AC859" s="1656"/>
      <c r="AD859" s="533"/>
      <c r="AZ859" s="34"/>
      <c r="BA859" s="34"/>
      <c r="BB859" s="34"/>
      <c r="BC859" s="34"/>
    </row>
    <row r="860" spans="3:55" ht="12.95" customHeight="1">
      <c r="C860" s="2"/>
      <c r="J860" s="121" t="s">
        <v>1654</v>
      </c>
      <c r="K860" s="5"/>
      <c r="L860" s="5"/>
      <c r="M860" s="5"/>
      <c r="N860" s="5"/>
      <c r="O860" s="5"/>
      <c r="P860" s="5"/>
      <c r="Q860" s="5"/>
      <c r="R860" s="5"/>
      <c r="S860" s="5"/>
      <c r="T860" s="1640">
        <f>'[1]Data Port'!$G$1126</f>
        <v>1</v>
      </c>
      <c r="U860" s="1603"/>
      <c r="V860" s="1641"/>
      <c r="W860" s="874"/>
      <c r="X860" s="875"/>
      <c r="Y860" s="875"/>
      <c r="Z860" s="875"/>
      <c r="AA860" s="875"/>
      <c r="AB860" s="875"/>
      <c r="AC860" s="876"/>
      <c r="AD860" s="533"/>
      <c r="AZ860" s="34"/>
      <c r="BA860" s="34"/>
      <c r="BB860" s="34"/>
      <c r="BC860" s="34"/>
    </row>
    <row r="861" spans="3:55" ht="12.95" customHeight="1">
      <c r="J861" s="45" t="s">
        <v>170</v>
      </c>
      <c r="K861" s="5"/>
      <c r="L861" s="5"/>
      <c r="M861" s="1646" t="str">
        <f>'[1]Data Port'!$B$1127</f>
        <v>Leasing specialist and commisions-Payroll Taxes/Benefit</v>
      </c>
      <c r="N861" s="1647"/>
      <c r="O861" s="1647"/>
      <c r="P861" s="1647"/>
      <c r="Q861" s="1647"/>
      <c r="R861" s="1647"/>
      <c r="S861" s="1647"/>
      <c r="T861" s="1647"/>
      <c r="U861" s="1647"/>
      <c r="V861" s="1648"/>
      <c r="W861" s="1654">
        <f>'[1]Data Port'!$G$1128</f>
        <v>70000</v>
      </c>
      <c r="X861" s="1655"/>
      <c r="Y861" s="1655"/>
      <c r="Z861" s="1655"/>
      <c r="AA861" s="1655"/>
      <c r="AB861" s="1655"/>
      <c r="AC861" s="1656"/>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3">
        <f>SUM(W857:W861)</f>
        <v>464000</v>
      </c>
      <c r="X862" s="1644"/>
      <c r="Y862" s="1644"/>
      <c r="Z862" s="1644"/>
      <c r="AA862" s="1644"/>
      <c r="AB862" s="1644"/>
      <c r="AC862" s="164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4">
        <f>'[1]Data Port'!$G$1129</f>
        <v>311400</v>
      </c>
      <c r="X863" s="1655"/>
      <c r="Y863" s="1655"/>
      <c r="Z863" s="1655"/>
      <c r="AA863" s="1655"/>
      <c r="AB863" s="1655"/>
      <c r="AC863" s="1656"/>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42">
        <f>'[1]Data Port'!$G$1131</f>
        <v>16000</v>
      </c>
      <c r="X865" s="1642"/>
      <c r="Y865" s="1642"/>
      <c r="Z865" s="1642"/>
      <c r="AA865" s="1642"/>
      <c r="AB865" s="1642"/>
      <c r="AC865" s="1642"/>
      <c r="AU865" s="14"/>
      <c r="AZ865" s="34"/>
      <c r="BA865" s="34"/>
      <c r="BB865" s="34"/>
      <c r="BC865" s="34"/>
    </row>
    <row r="866" spans="3:55" ht="12.95" customHeight="1">
      <c r="J866" s="45" t="s">
        <v>521</v>
      </c>
      <c r="K866" s="5"/>
      <c r="L866" s="5"/>
      <c r="M866" s="5"/>
      <c r="N866" s="5"/>
      <c r="O866" s="5"/>
      <c r="P866" s="5"/>
      <c r="Q866" s="5"/>
      <c r="R866" s="5"/>
      <c r="S866" s="5"/>
      <c r="T866" s="5"/>
      <c r="U866" s="5"/>
      <c r="V866" s="46"/>
      <c r="W866" s="1642">
        <f>'[1]Data Port'!$G$1132</f>
        <v>145320</v>
      </c>
      <c r="X866" s="1642"/>
      <c r="Y866" s="1642"/>
      <c r="Z866" s="1642"/>
      <c r="AA866" s="1642"/>
      <c r="AB866" s="1642"/>
      <c r="AC866" s="1642"/>
      <c r="AU866" s="4"/>
      <c r="AZ866" s="34"/>
      <c r="BA866" s="34"/>
      <c r="BB866" s="34"/>
      <c r="BC866" s="34"/>
    </row>
    <row r="867" spans="3:55" ht="12.95" customHeight="1">
      <c r="J867" s="45" t="s">
        <v>520</v>
      </c>
      <c r="K867" s="5"/>
      <c r="L867" s="5"/>
      <c r="M867" s="5"/>
      <c r="N867" s="5"/>
      <c r="O867" s="5"/>
      <c r="P867" s="5"/>
      <c r="Q867" s="5"/>
      <c r="R867" s="5"/>
      <c r="S867" s="5"/>
      <c r="T867" s="5"/>
      <c r="U867" s="5"/>
      <c r="V867" s="46"/>
      <c r="W867" s="1642">
        <f>'[1]Data Port'!$G$1133+'[1]Data Port'!$G$1121</f>
        <v>186840</v>
      </c>
      <c r="X867" s="1642"/>
      <c r="Y867" s="1642"/>
      <c r="Z867" s="1642"/>
      <c r="AA867" s="1642"/>
      <c r="AB867" s="1642"/>
      <c r="AC867" s="1642"/>
      <c r="AU867" s="4"/>
      <c r="AZ867" s="34"/>
      <c r="BA867" s="34"/>
      <c r="BB867" s="34"/>
      <c r="BC867" s="34"/>
    </row>
    <row r="868" spans="3:55" ht="12.95" customHeight="1">
      <c r="J868" s="45" t="s">
        <v>519</v>
      </c>
      <c r="K868" s="5"/>
      <c r="L868" s="5"/>
      <c r="M868" s="5"/>
      <c r="N868" s="5"/>
      <c r="O868" s="5"/>
      <c r="P868" s="5"/>
      <c r="Q868" s="5"/>
      <c r="R868" s="5"/>
      <c r="S868" s="5"/>
      <c r="T868" s="5"/>
      <c r="U868" s="5"/>
      <c r="V868" s="46"/>
      <c r="W868" s="1642">
        <f>'[1]Data Port'!$G$1134</f>
        <v>5000</v>
      </c>
      <c r="X868" s="1642"/>
      <c r="Y868" s="1642"/>
      <c r="Z868" s="1642"/>
      <c r="AA868" s="1642"/>
      <c r="AB868" s="1642"/>
      <c r="AC868" s="1642"/>
      <c r="AU868" s="4"/>
      <c r="AZ868" s="34"/>
      <c r="BA868" s="34"/>
      <c r="BB868" s="34"/>
      <c r="BC868" s="34"/>
    </row>
    <row r="869" spans="3:55" ht="12.95" customHeight="1">
      <c r="J869" s="45" t="s">
        <v>518</v>
      </c>
      <c r="K869" s="5"/>
      <c r="L869" s="5"/>
      <c r="M869" s="5"/>
      <c r="N869" s="5"/>
      <c r="O869" s="5"/>
      <c r="P869" s="5"/>
      <c r="Q869" s="5"/>
      <c r="R869" s="5"/>
      <c r="S869" s="5"/>
      <c r="T869" s="5"/>
      <c r="U869" s="5"/>
      <c r="V869" s="46"/>
      <c r="W869" s="1642">
        <f>'[1]Data Port'!$G$1135</f>
        <v>21000</v>
      </c>
      <c r="X869" s="1642"/>
      <c r="Y869" s="1642"/>
      <c r="Z869" s="1642"/>
      <c r="AA869" s="1642"/>
      <c r="AB869" s="1642"/>
      <c r="AC869" s="1642"/>
      <c r="AU869" s="4"/>
      <c r="AZ869" s="34"/>
      <c r="BA869" s="34"/>
      <c r="BB869" s="34"/>
      <c r="BC869" s="34"/>
    </row>
    <row r="870" spans="3:55" ht="12.95" customHeight="1">
      <c r="J870" s="45" t="s">
        <v>517</v>
      </c>
      <c r="K870" s="5"/>
      <c r="L870" s="5"/>
      <c r="M870" s="5"/>
      <c r="N870" s="5"/>
      <c r="O870" s="5"/>
      <c r="P870" s="5"/>
      <c r="Q870" s="5"/>
      <c r="R870" s="5"/>
      <c r="S870" s="5"/>
      <c r="T870" s="5"/>
      <c r="U870" s="5"/>
      <c r="V870" s="46"/>
      <c r="W870" s="1642">
        <f>'[1]Data Port'!$G$1136</f>
        <v>12000</v>
      </c>
      <c r="X870" s="1642"/>
      <c r="Y870" s="1642"/>
      <c r="Z870" s="1642"/>
      <c r="AA870" s="1642"/>
      <c r="AB870" s="1642"/>
      <c r="AC870" s="1642"/>
      <c r="AU870" s="4"/>
      <c r="AZ870" s="34"/>
      <c r="BA870" s="34"/>
      <c r="BB870" s="34"/>
      <c r="BC870" s="34"/>
    </row>
    <row r="871" spans="3:55" ht="12.95" customHeight="1">
      <c r="J871" s="45" t="s">
        <v>170</v>
      </c>
      <c r="K871" s="5"/>
      <c r="L871" s="5"/>
      <c r="M871" s="1646" t="str">
        <f>'[1]Data Port'!$B$1137</f>
        <v>Contracts-Cleaning-Supplies, Fire Protection, Uniforms, Janitorial Services</v>
      </c>
      <c r="N871" s="1647"/>
      <c r="O871" s="1647"/>
      <c r="P871" s="1647"/>
      <c r="Q871" s="1647"/>
      <c r="R871" s="1647"/>
      <c r="S871" s="1647"/>
      <c r="T871" s="1647"/>
      <c r="U871" s="1647"/>
      <c r="V871" s="1648"/>
      <c r="W871" s="1642">
        <f>'[1]Data Port'!$G$1137</f>
        <v>72280</v>
      </c>
      <c r="X871" s="1642"/>
      <c r="Y871" s="1642"/>
      <c r="Z871" s="1642"/>
      <c r="AA871" s="1642"/>
      <c r="AB871" s="1642"/>
      <c r="AC871" s="164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5">
        <f>SUM(W865:W871)</f>
        <v>458440</v>
      </c>
      <c r="X872" s="1605"/>
      <c r="Y872" s="1605"/>
      <c r="Z872" s="1605"/>
      <c r="AA872" s="1605"/>
      <c r="AB872" s="1605"/>
      <c r="AC872" s="16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646" t="str">
        <f>'[1]Data Port'!$G$1139</f>
        <v>Special Assessments</v>
      </c>
      <c r="N874" s="1647"/>
      <c r="O874" s="1647"/>
      <c r="P874" s="1647"/>
      <c r="Q874" s="1647"/>
      <c r="R874" s="1647"/>
      <c r="S874" s="1647"/>
      <c r="T874" s="1647"/>
      <c r="U874" s="1647"/>
      <c r="V874" s="1648"/>
      <c r="W874" s="1477">
        <f>'[1]Data Port'!$G$1140</f>
        <v>0</v>
      </c>
      <c r="X874" s="1338"/>
      <c r="Y874" s="1338"/>
      <c r="Z874" s="1338"/>
      <c r="AA874" s="1338"/>
      <c r="AB874" s="1338"/>
      <c r="AC874" s="1339"/>
      <c r="AD874" s="533"/>
      <c r="AV874" s="14"/>
      <c r="AW874" s="14"/>
      <c r="AX874" s="14"/>
      <c r="AY874" s="14"/>
      <c r="AZ874" s="34"/>
      <c r="BA874" s="34"/>
      <c r="BB874" s="34"/>
      <c r="BC874" s="34"/>
    </row>
    <row r="875" spans="3:55" ht="12.95" customHeight="1">
      <c r="C875" s="2" t="s">
        <v>1242</v>
      </c>
      <c r="J875" s="45" t="s">
        <v>170</v>
      </c>
      <c r="K875" s="5"/>
      <c r="L875" s="5"/>
      <c r="M875" s="1646" t="str">
        <f>'[1]Data Port'!$G$1141</f>
        <v>Misc. Tax/License</v>
      </c>
      <c r="N875" s="1647"/>
      <c r="O875" s="1647"/>
      <c r="P875" s="1647"/>
      <c r="Q875" s="1647"/>
      <c r="R875" s="1647"/>
      <c r="S875" s="1647"/>
      <c r="T875" s="1647"/>
      <c r="U875" s="1647"/>
      <c r="V875" s="1648"/>
      <c r="W875" s="1477">
        <f>'[1]Data Port'!$G$1142</f>
        <v>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6" t="str">
        <f>'[1]Data Port'!$G$1143</f>
        <v>Business Tax</v>
      </c>
      <c r="N876" s="1647"/>
      <c r="O876" s="1647"/>
      <c r="P876" s="1647"/>
      <c r="Q876" s="1647"/>
      <c r="R876" s="1647"/>
      <c r="S876" s="1647"/>
      <c r="T876" s="1647"/>
      <c r="U876" s="1647"/>
      <c r="V876" s="1648"/>
      <c r="W876" s="1477">
        <f>'[1]Data Port'!$G$1144</f>
        <v>0</v>
      </c>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6" t="str">
        <f>'[1]Data Port'!$G$1145</f>
        <v>Internet</v>
      </c>
      <c r="N877" s="1647"/>
      <c r="O877" s="1647"/>
      <c r="P877" s="1647"/>
      <c r="Q877" s="1647"/>
      <c r="R877" s="1647"/>
      <c r="S877" s="1647"/>
      <c r="T877" s="1647"/>
      <c r="U877" s="1647"/>
      <c r="V877" s="1648"/>
      <c r="W877" s="1477">
        <f>'[1]Data Port'!$G$1146</f>
        <v>83040</v>
      </c>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6" t="str">
        <f>'[1]Data Port'!$G$1147</f>
        <v>Other</v>
      </c>
      <c r="N878" s="1647"/>
      <c r="O878" s="1647"/>
      <c r="P878" s="1647"/>
      <c r="Q878" s="1647"/>
      <c r="R878" s="1647"/>
      <c r="S878" s="1647"/>
      <c r="T878" s="1647"/>
      <c r="U878" s="1647"/>
      <c r="V878" s="1648"/>
      <c r="W878" s="1477">
        <f>'[1]Data Port'!$G$1148</f>
        <v>0</v>
      </c>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4">
        <f>SUM(W874:W878)</f>
        <v>83040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2025083</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49">
        <f>O797+O777+G753</f>
        <v>346</v>
      </c>
      <c r="AD884" s="1649"/>
      <c r="AE884" s="1649"/>
      <c r="AF884" s="1649"/>
      <c r="AG884" s="1649"/>
      <c r="AH884" s="1650"/>
      <c r="AL884" s="4"/>
      <c r="AM884" s="4"/>
      <c r="AN884" s="4"/>
      <c r="AO884" s="4"/>
      <c r="AP884" s="4"/>
      <c r="AQ884" s="4"/>
      <c r="AR884" s="4"/>
      <c r="AS884" s="4"/>
      <c r="AT884" s="4"/>
      <c r="AZ884" s="34"/>
      <c r="BA884" s="34"/>
      <c r="BB884" s="34"/>
      <c r="BC884" s="34"/>
    </row>
    <row r="885" spans="3:55" ht="12.95"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5">
        <f>IF(ISERROR((ROUNDDOWN(AC883/AC884,0))),0,(ROUNDDOWN(AC883/AC884,0)))</f>
        <v>5852</v>
      </c>
      <c r="AD885" s="1605"/>
      <c r="AE885" s="1605"/>
      <c r="AF885" s="1605"/>
      <c r="AG885" s="1605"/>
      <c r="AH885" s="16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1">
        <f>'[1]Data Port'!$G$1150</f>
        <v>1463678</v>
      </c>
      <c r="AD886" s="1652"/>
      <c r="AE886" s="1652"/>
      <c r="AF886" s="1652"/>
      <c r="AG886" s="1652"/>
      <c r="AH886" s="165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9">
        <f>'[1]Data Port'!$G$1151</f>
        <v>0</v>
      </c>
      <c r="AD887" s="1642"/>
      <c r="AE887" s="1642"/>
      <c r="AF887" s="1642"/>
      <c r="AG887" s="1642"/>
      <c r="AH887" s="164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f>'[1]Data Port'!$G$1152</f>
        <v>34200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'[1]Data Port'!$G$1153</f>
        <v>86500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92">
        <f>'[1]Data Port'!$G$1154</f>
        <v>15581.52</v>
      </c>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f>'[1]Data Port'!$G$1155</f>
        <v>7674.4800000000005</v>
      </c>
      <c r="AD891" s="1338"/>
      <c r="AE891" s="1338"/>
      <c r="AF891" s="1338"/>
      <c r="AG891" s="1338"/>
      <c r="AH891" s="1339"/>
      <c r="AZ891" s="34"/>
      <c r="BA891" s="34"/>
      <c r="BB891" s="34"/>
      <c r="BC891" s="34"/>
    </row>
    <row r="892" spans="3:55" ht="12.95" hidden="1" customHeight="1">
      <c r="C892" s="1410" t="s">
        <v>2229</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8">
        <f>'[1]Data Port'!$G$1156</f>
        <v>0</v>
      </c>
      <c r="AD893" s="1338"/>
      <c r="AE893" s="1338"/>
      <c r="AF893" s="1338"/>
      <c r="AG893" s="1338"/>
      <c r="AH893" s="1339"/>
      <c r="AZ893" s="34"/>
      <c r="BA893" s="34"/>
      <c r="BB893" s="34"/>
      <c r="BC893" s="34"/>
    </row>
    <row r="894" spans="3:55" ht="12.95" customHeight="1">
      <c r="C894" s="1670" t="str">
        <f>'[1]Data Port'!$B$1157</f>
        <v>Other (Specify)</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2">
        <f>'[1]Data Port'!$G$1157</f>
        <v>0</v>
      </c>
      <c r="AD894" s="1642"/>
      <c r="AE894" s="1642"/>
      <c r="AF894" s="1642"/>
      <c r="AG894" s="1642"/>
      <c r="AH894" s="1642"/>
      <c r="AZ894" s="34"/>
      <c r="BA894" s="34"/>
      <c r="BB894" s="34"/>
      <c r="BC894" s="34"/>
    </row>
    <row r="895" spans="3:55" ht="12.95" customHeight="1">
      <c r="C895" s="1670" t="str">
        <f>'[1]Data Port'!$B$1158</f>
        <v>Other (Specify)</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2">
        <f>'[1]Data Port'!$G$1158</f>
        <v>0</v>
      </c>
      <c r="AD895" s="1642"/>
      <c r="AE895" s="1642"/>
      <c r="AF895" s="1642"/>
      <c r="AG895" s="1642"/>
      <c r="AH895" s="164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39"/>
      <c r="BE899" s="163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39"/>
      <c r="BE900" s="163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38"/>
      <c r="BE901" s="163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8"/>
      <c r="BE902" s="163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9"/>
      <c r="BE910" s="1638"/>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5" t="s">
        <v>791</v>
      </c>
      <c r="G915" s="1716"/>
      <c r="H915" s="1716"/>
      <c r="I915" s="1716"/>
      <c r="J915" s="1716"/>
      <c r="K915" s="1716"/>
      <c r="L915" s="1716"/>
      <c r="M915" s="1716"/>
      <c r="N915" s="1716"/>
      <c r="O915" s="1716"/>
      <c r="P915" s="1716"/>
      <c r="Q915" s="1716"/>
      <c r="R915" s="1716"/>
      <c r="S915" s="1716"/>
      <c r="T915" s="1717"/>
      <c r="U915" s="1758" t="s">
        <v>31</v>
      </c>
      <c r="V915" s="1690"/>
      <c r="W915" s="1690"/>
      <c r="X915" s="1690"/>
      <c r="Y915" s="1690"/>
      <c r="Z915" s="1690"/>
      <c r="AA915" s="43"/>
      <c r="AB915" s="105"/>
      <c r="AC915" s="105"/>
      <c r="AD915" s="105"/>
      <c r="AE915" s="105"/>
      <c r="AF915" s="106"/>
      <c r="AZ915" s="34"/>
      <c r="BA915" s="34"/>
      <c r="BB915" s="34"/>
      <c r="BC915" s="34"/>
    </row>
    <row r="916" spans="1:58" ht="12.95" customHeight="1">
      <c r="B916" s="2"/>
      <c r="F916" s="1759" t="s">
        <v>817</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2.95" customHeight="1">
      <c r="B917" s="2"/>
      <c r="F917" s="1761"/>
      <c r="G917" s="1692"/>
      <c r="H917" s="1692"/>
      <c r="I917" s="1692"/>
      <c r="J917" s="1692"/>
      <c r="K917" s="1692"/>
      <c r="L917" s="1692"/>
      <c r="M917" s="1692"/>
      <c r="N917" s="1692"/>
      <c r="O917" s="1692"/>
      <c r="P917" s="1692"/>
      <c r="Q917" s="1692"/>
      <c r="R917" s="1692"/>
      <c r="S917" s="1692"/>
      <c r="T917" s="1693"/>
      <c r="U917" s="1761"/>
      <c r="V917" s="1692"/>
      <c r="W917" s="1692"/>
      <c r="X917" s="1692"/>
      <c r="Y917" s="1692"/>
      <c r="Z917" s="1692"/>
      <c r="AA917" s="108"/>
      <c r="AB917" s="1433" t="s">
        <v>390</v>
      </c>
      <c r="AC917" s="1433"/>
      <c r="AD917" s="1433"/>
      <c r="AE917" s="1433"/>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32" t="s">
        <v>544</v>
      </c>
      <c r="V918" s="1429"/>
      <c r="W918" s="1429"/>
      <c r="X918" s="1429"/>
      <c r="Y918" s="1429"/>
      <c r="Z918" s="1430"/>
      <c r="AA918" s="1636">
        <f>'[1]Data Port'!$G$1162</f>
        <v>29391578</v>
      </c>
      <c r="AB918" s="1526"/>
      <c r="AC918" s="1526"/>
      <c r="AD918" s="1526"/>
      <c r="AE918" s="1526"/>
      <c r="AF918" s="1637"/>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32" t="s">
        <v>590</v>
      </c>
      <c r="V919" s="1429"/>
      <c r="W919" s="1429"/>
      <c r="X919" s="1429"/>
      <c r="Y919" s="1429"/>
      <c r="Z919" s="1430"/>
      <c r="AA919" s="1636"/>
      <c r="AB919" s="1526"/>
      <c r="AC919" s="1526"/>
      <c r="AD919" s="1526"/>
      <c r="AE919" s="1526"/>
      <c r="AF919" s="1637"/>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32" t="s">
        <v>590</v>
      </c>
      <c r="V920" s="1429"/>
      <c r="W920" s="1429"/>
      <c r="X920" s="1429"/>
      <c r="Y920" s="1429"/>
      <c r="Z920" s="1430"/>
      <c r="AA920" s="1636"/>
      <c r="AB920" s="1526"/>
      <c r="AC920" s="1526"/>
      <c r="AD920" s="1526"/>
      <c r="AE920" s="1526"/>
      <c r="AF920" s="1637"/>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32" t="s">
        <v>590</v>
      </c>
      <c r="V921" s="1429"/>
      <c r="W921" s="1429"/>
      <c r="X921" s="1429"/>
      <c r="Y921" s="1429"/>
      <c r="Z921" s="1430"/>
      <c r="AA921" s="1636"/>
      <c r="AB921" s="1526"/>
      <c r="AC921" s="1526"/>
      <c r="AD921" s="1526"/>
      <c r="AE921" s="1526"/>
      <c r="AF921" s="1637"/>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32" t="s">
        <v>590</v>
      </c>
      <c r="V922" s="1429"/>
      <c r="W922" s="1429"/>
      <c r="X922" s="1429"/>
      <c r="Y922" s="1429"/>
      <c r="Z922" s="1430"/>
      <c r="AA922" s="1636"/>
      <c r="AB922" s="1526"/>
      <c r="AC922" s="1526"/>
      <c r="AD922" s="1526"/>
      <c r="AE922" s="1526"/>
      <c r="AF922" s="1637"/>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32" t="s">
        <v>590</v>
      </c>
      <c r="V923" s="1429"/>
      <c r="W923" s="1429"/>
      <c r="X923" s="1429"/>
      <c r="Y923" s="1429"/>
      <c r="Z923" s="1430"/>
      <c r="AA923" s="1636"/>
      <c r="AB923" s="1526"/>
      <c r="AC923" s="1526"/>
      <c r="AD923" s="1526"/>
      <c r="AE923" s="1526"/>
      <c r="AF923" s="1637"/>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32" t="s">
        <v>590</v>
      </c>
      <c r="V924" s="1429"/>
      <c r="W924" s="1429"/>
      <c r="X924" s="1429"/>
      <c r="Y924" s="1429"/>
      <c r="Z924" s="1430"/>
      <c r="AA924" s="1636"/>
      <c r="AB924" s="1526"/>
      <c r="AC924" s="1526"/>
      <c r="AD924" s="1526"/>
      <c r="AE924" s="1526"/>
      <c r="AF924" s="1637"/>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32" t="s">
        <v>590</v>
      </c>
      <c r="V925" s="1429"/>
      <c r="W925" s="1429"/>
      <c r="X925" s="1429"/>
      <c r="Y925" s="1429"/>
      <c r="Z925" s="1430"/>
      <c r="AA925" s="1636"/>
      <c r="AB925" s="1526"/>
      <c r="AC925" s="1526"/>
      <c r="AD925" s="1526"/>
      <c r="AE925" s="1526"/>
      <c r="AF925" s="1637"/>
      <c r="AZ925" s="34"/>
      <c r="BA925" s="34"/>
      <c r="BB925" s="34"/>
      <c r="BC925" s="34"/>
    </row>
    <row r="926" spans="1:58" ht="12.95" customHeight="1">
      <c r="F926" s="1629" t="s">
        <v>2189</v>
      </c>
      <c r="G926" s="1630"/>
      <c r="H926" s="1630"/>
      <c r="I926" s="1630"/>
      <c r="J926" s="1630"/>
      <c r="K926" s="1630"/>
      <c r="L926" s="1630"/>
      <c r="M926" s="1630"/>
      <c r="N926" s="1630"/>
      <c r="O926" s="1630"/>
      <c r="P926" s="1630"/>
      <c r="Q926" s="1630"/>
      <c r="R926" s="1630"/>
      <c r="S926" s="1630"/>
      <c r="T926" s="1631"/>
      <c r="U926" s="1632" t="s">
        <v>590</v>
      </c>
      <c r="V926" s="1429"/>
      <c r="W926" s="1429"/>
      <c r="X926" s="1429"/>
      <c r="Y926" s="1429"/>
      <c r="Z926" s="1430"/>
      <c r="AA926" s="1636"/>
      <c r="AB926" s="1526"/>
      <c r="AC926" s="1526"/>
      <c r="AD926" s="1526"/>
      <c r="AE926" s="1526"/>
      <c r="AF926" s="1637"/>
      <c r="AZ926" s="34"/>
      <c r="BA926" s="34"/>
      <c r="BB926" s="34"/>
      <c r="BC926" s="34"/>
    </row>
    <row r="927" spans="1:58" ht="12.95" customHeight="1">
      <c r="F927" s="1629" t="s">
        <v>678</v>
      </c>
      <c r="G927" s="1630"/>
      <c r="H927" s="1630"/>
      <c r="I927" s="1630"/>
      <c r="J927" s="1630"/>
      <c r="K927" s="1630"/>
      <c r="L927" s="1630"/>
      <c r="M927" s="1630"/>
      <c r="N927" s="1630"/>
      <c r="O927" s="1630"/>
      <c r="P927" s="1630"/>
      <c r="Q927" s="1630"/>
      <c r="R927" s="1630"/>
      <c r="S927" s="1630"/>
      <c r="T927" s="1631"/>
      <c r="U927" s="1632" t="s">
        <v>590</v>
      </c>
      <c r="V927" s="1429"/>
      <c r="W927" s="1429"/>
      <c r="X927" s="1429"/>
      <c r="Y927" s="1429"/>
      <c r="Z927" s="1430"/>
      <c r="AA927" s="1636"/>
      <c r="AB927" s="1526"/>
      <c r="AC927" s="1526"/>
      <c r="AD927" s="1526"/>
      <c r="AE927" s="1526"/>
      <c r="AF927" s="1637"/>
      <c r="AU927" s="2"/>
      <c r="AZ927" s="34"/>
      <c r="BA927" s="34"/>
      <c r="BB927" s="34"/>
      <c r="BC927" s="34"/>
    </row>
    <row r="928" spans="1:58" ht="12.95" customHeight="1">
      <c r="F928" s="1629" t="s">
        <v>2190</v>
      </c>
      <c r="G928" s="1630"/>
      <c r="H928" s="1630"/>
      <c r="I928" s="1630"/>
      <c r="J928" s="1630"/>
      <c r="K928" s="1630"/>
      <c r="L928" s="1630"/>
      <c r="M928" s="1630"/>
      <c r="N928" s="1630"/>
      <c r="O928" s="1630"/>
      <c r="P928" s="1630"/>
      <c r="Q928" s="1630"/>
      <c r="R928" s="1630"/>
      <c r="S928" s="1630"/>
      <c r="T928" s="1631"/>
      <c r="U928" s="1632" t="s">
        <v>590</v>
      </c>
      <c r="V928" s="1429"/>
      <c r="W928" s="1429"/>
      <c r="X928" s="1429"/>
      <c r="Y928" s="1429"/>
      <c r="Z928" s="1430"/>
      <c r="AA928" s="1636"/>
      <c r="AB928" s="1526"/>
      <c r="AC928" s="1526"/>
      <c r="AD928" s="1526"/>
      <c r="AE928" s="1526"/>
      <c r="AF928" s="1637"/>
      <c r="AU928" s="2"/>
      <c r="AZ928" s="34"/>
      <c r="BA928" s="34"/>
      <c r="BB928" s="34"/>
      <c r="BC928" s="34"/>
    </row>
    <row r="929" spans="6:55" ht="12.95" customHeight="1">
      <c r="F929" s="1629" t="s">
        <v>2191</v>
      </c>
      <c r="G929" s="1630"/>
      <c r="H929" s="1630"/>
      <c r="I929" s="1630"/>
      <c r="J929" s="1630"/>
      <c r="K929" s="1630"/>
      <c r="L929" s="1630"/>
      <c r="M929" s="1630"/>
      <c r="N929" s="1630"/>
      <c r="O929" s="1630"/>
      <c r="P929" s="1630"/>
      <c r="Q929" s="1630"/>
      <c r="R929" s="1630"/>
      <c r="S929" s="1630"/>
      <c r="T929" s="1631"/>
      <c r="U929" s="1632" t="s">
        <v>590</v>
      </c>
      <c r="V929" s="1429"/>
      <c r="W929" s="1429"/>
      <c r="X929" s="1429"/>
      <c r="Y929" s="1429"/>
      <c r="Z929" s="1430"/>
      <c r="AA929" s="1636"/>
      <c r="AB929" s="1526"/>
      <c r="AC929" s="1526"/>
      <c r="AD929" s="1526"/>
      <c r="AE929" s="1526"/>
      <c r="AF929" s="1637"/>
      <c r="AU929" s="2"/>
      <c r="AZ929" s="34"/>
      <c r="BA929" s="34"/>
      <c r="BB929" s="34"/>
      <c r="BC929" s="34"/>
    </row>
    <row r="930" spans="6:55" ht="12.95" customHeight="1">
      <c r="F930" s="1629" t="s">
        <v>2192</v>
      </c>
      <c r="G930" s="1630"/>
      <c r="H930" s="1630"/>
      <c r="I930" s="1630"/>
      <c r="J930" s="1630"/>
      <c r="K930" s="1630"/>
      <c r="L930" s="1630"/>
      <c r="M930" s="1630"/>
      <c r="N930" s="1630"/>
      <c r="O930" s="1630"/>
      <c r="P930" s="1630"/>
      <c r="Q930" s="1630"/>
      <c r="R930" s="1630"/>
      <c r="S930" s="1630"/>
      <c r="T930" s="1631"/>
      <c r="U930" s="1632" t="s">
        <v>590</v>
      </c>
      <c r="V930" s="1429"/>
      <c r="W930" s="1429"/>
      <c r="X930" s="1429"/>
      <c r="Y930" s="1429"/>
      <c r="Z930" s="1430"/>
      <c r="AA930" s="1636"/>
      <c r="AB930" s="1526"/>
      <c r="AC930" s="1526"/>
      <c r="AD930" s="1526"/>
      <c r="AE930" s="1526"/>
      <c r="AF930" s="1637"/>
      <c r="AU930" s="2"/>
      <c r="AZ930" s="34"/>
      <c r="BA930" s="34"/>
      <c r="BB930" s="34"/>
      <c r="BC930" s="34"/>
    </row>
    <row r="931" spans="6:55" ht="12.95" customHeight="1">
      <c r="F931" s="1629" t="s">
        <v>2193</v>
      </c>
      <c r="G931" s="1630"/>
      <c r="H931" s="1630"/>
      <c r="I931" s="1630"/>
      <c r="J931" s="1630"/>
      <c r="K931" s="1630"/>
      <c r="L931" s="1630"/>
      <c r="M931" s="1630"/>
      <c r="N931" s="1630"/>
      <c r="O931" s="1630"/>
      <c r="P931" s="1630"/>
      <c r="Q931" s="1630"/>
      <c r="R931" s="1630"/>
      <c r="S931" s="1630"/>
      <c r="T931" s="1631"/>
      <c r="U931" s="1632" t="s">
        <v>590</v>
      </c>
      <c r="V931" s="1429"/>
      <c r="W931" s="1429"/>
      <c r="X931" s="1429"/>
      <c r="Y931" s="1429"/>
      <c r="Z931" s="1430"/>
      <c r="AA931" s="1636"/>
      <c r="AB931" s="1526"/>
      <c r="AC931" s="1526"/>
      <c r="AD931" s="1526"/>
      <c r="AE931" s="1526"/>
      <c r="AF931" s="1637"/>
      <c r="AU931" s="2"/>
      <c r="AZ931" s="34"/>
      <c r="BA931" s="34"/>
      <c r="BB931" s="34"/>
      <c r="BC931" s="34"/>
    </row>
    <row r="932" spans="6:55" ht="12.95" customHeight="1">
      <c r="F932" s="1629" t="s">
        <v>2194</v>
      </c>
      <c r="G932" s="1630"/>
      <c r="H932" s="1630"/>
      <c r="I932" s="1630"/>
      <c r="J932" s="1630"/>
      <c r="K932" s="1630"/>
      <c r="L932" s="1630"/>
      <c r="M932" s="1630"/>
      <c r="N932" s="1630"/>
      <c r="O932" s="1630"/>
      <c r="P932" s="1630"/>
      <c r="Q932" s="1630"/>
      <c r="R932" s="1630"/>
      <c r="S932" s="1630"/>
      <c r="T932" s="1631"/>
      <c r="U932" s="1632" t="s">
        <v>590</v>
      </c>
      <c r="V932" s="1429"/>
      <c r="W932" s="1429"/>
      <c r="X932" s="1429"/>
      <c r="Y932" s="1429"/>
      <c r="Z932" s="1430"/>
      <c r="AA932" s="1636"/>
      <c r="AB932" s="1526"/>
      <c r="AC932" s="1526"/>
      <c r="AD932" s="1526"/>
      <c r="AE932" s="1526"/>
      <c r="AF932" s="1637"/>
      <c r="AZ932" s="30"/>
      <c r="BA932" s="30"/>
    </row>
    <row r="933" spans="6:55" ht="12.95" customHeight="1">
      <c r="F933" s="178" t="s">
        <v>675</v>
      </c>
      <c r="G933" s="5"/>
      <c r="H933" s="5"/>
      <c r="I933" s="5"/>
      <c r="J933" s="5"/>
      <c r="K933" s="5"/>
      <c r="L933" s="5"/>
      <c r="M933" s="5"/>
      <c r="N933" s="5"/>
      <c r="O933" s="5"/>
      <c r="P933" s="5"/>
      <c r="Q933" s="5"/>
      <c r="R933" s="5"/>
      <c r="S933" s="5"/>
      <c r="T933" s="46"/>
      <c r="U933" s="1632" t="s">
        <v>590</v>
      </c>
      <c r="V933" s="1429"/>
      <c r="W933" s="1429"/>
      <c r="X933" s="1429"/>
      <c r="Y933" s="1429"/>
      <c r="Z933" s="1430"/>
      <c r="AA933" s="1636"/>
      <c r="AB933" s="1526"/>
      <c r="AC933" s="1526"/>
      <c r="AD933" s="1526"/>
      <c r="AE933" s="1526"/>
      <c r="AF933" s="1637"/>
    </row>
    <row r="934" spans="6:55" ht="12.95" customHeight="1">
      <c r="F934" s="121" t="s">
        <v>1275</v>
      </c>
      <c r="G934" s="5"/>
      <c r="H934" s="5"/>
      <c r="I934" s="5"/>
      <c r="J934" s="5"/>
      <c r="K934" s="5"/>
      <c r="L934" s="5"/>
      <c r="M934" s="5"/>
      <c r="N934" s="5"/>
      <c r="O934" s="5"/>
      <c r="P934" s="5"/>
      <c r="Q934" s="5"/>
      <c r="R934" s="5"/>
      <c r="S934" s="5"/>
      <c r="T934" s="46"/>
      <c r="U934" s="1632" t="s">
        <v>590</v>
      </c>
      <c r="V934" s="1429"/>
      <c r="W934" s="1429"/>
      <c r="X934" s="1429"/>
      <c r="Y934" s="1429"/>
      <c r="Z934" s="1430"/>
      <c r="AA934" s="1636"/>
      <c r="AB934" s="1526"/>
      <c r="AC934" s="1526"/>
      <c r="AD934" s="1526"/>
      <c r="AE934" s="1526"/>
      <c r="AF934" s="1637"/>
      <c r="AZ934" s="30"/>
      <c r="BA934" s="14"/>
    </row>
    <row r="935" spans="6:55" ht="12.95" customHeight="1">
      <c r="F935" s="66" t="s">
        <v>801</v>
      </c>
      <c r="G935" s="5"/>
      <c r="H935" s="5"/>
      <c r="I935" s="5"/>
      <c r="J935" s="5"/>
      <c r="K935" s="5"/>
      <c r="L935" s="5"/>
      <c r="M935" s="5"/>
      <c r="N935" s="5"/>
      <c r="O935" s="5"/>
      <c r="P935" s="5"/>
      <c r="Q935" s="5"/>
      <c r="R935" s="5"/>
      <c r="S935" s="5"/>
      <c r="T935" s="46"/>
      <c r="U935" s="1632" t="s">
        <v>590</v>
      </c>
      <c r="V935" s="1429"/>
      <c r="W935" s="1429"/>
      <c r="X935" s="1429"/>
      <c r="Y935" s="1429"/>
      <c r="Z935" s="1430"/>
      <c r="AA935" s="1636"/>
      <c r="AB935" s="1526"/>
      <c r="AC935" s="1526"/>
      <c r="AD935" s="1526"/>
      <c r="AE935" s="1526"/>
      <c r="AF935" s="1637"/>
      <c r="AZ935" s="30"/>
      <c r="BA935" s="14"/>
    </row>
    <row r="936" spans="6:55" ht="12.95" customHeight="1">
      <c r="F936" s="1633" t="s">
        <v>2198</v>
      </c>
      <c r="G936" s="1634"/>
      <c r="H936" s="1634"/>
      <c r="I936" s="1634"/>
      <c r="J936" s="1634"/>
      <c r="K936" s="1634"/>
      <c r="L936" s="1634"/>
      <c r="M936" s="1634"/>
      <c r="N936" s="1634"/>
      <c r="O936" s="1634"/>
      <c r="P936" s="1634"/>
      <c r="Q936" s="1634"/>
      <c r="R936" s="1634"/>
      <c r="S936" s="1634"/>
      <c r="T936" s="1635"/>
      <c r="U936" s="1632" t="s">
        <v>590</v>
      </c>
      <c r="V936" s="1429"/>
      <c r="W936" s="1429"/>
      <c r="X936" s="1429"/>
      <c r="Y936" s="1429"/>
      <c r="Z936" s="1430"/>
      <c r="AA936" s="1636"/>
      <c r="AB936" s="1526"/>
      <c r="AC936" s="1526"/>
      <c r="AD936" s="1526"/>
      <c r="AE936" s="1526"/>
      <c r="AF936" s="1637"/>
      <c r="AZ936" s="30"/>
      <c r="BA936" s="14"/>
    </row>
    <row r="937" spans="6:55" ht="12.95" customHeight="1">
      <c r="F937" s="1633" t="s">
        <v>2199</v>
      </c>
      <c r="G937" s="1634"/>
      <c r="H937" s="1634"/>
      <c r="I937" s="1634"/>
      <c r="J937" s="1634"/>
      <c r="K937" s="1634"/>
      <c r="L937" s="1634"/>
      <c r="M937" s="1634"/>
      <c r="N937" s="1634"/>
      <c r="O937" s="1634"/>
      <c r="P937" s="1634"/>
      <c r="Q937" s="1634"/>
      <c r="R937" s="1634"/>
      <c r="S937" s="1634"/>
      <c r="T937" s="1635"/>
      <c r="U937" s="1632" t="s">
        <v>590</v>
      </c>
      <c r="V937" s="1429"/>
      <c r="W937" s="1429"/>
      <c r="X937" s="1429"/>
      <c r="Y937" s="1429"/>
      <c r="Z937" s="1430"/>
      <c r="AA937" s="1636"/>
      <c r="AB937" s="1526"/>
      <c r="AC937" s="1526"/>
      <c r="AD937" s="1526"/>
      <c r="AE937" s="1526"/>
      <c r="AF937" s="1637"/>
      <c r="AZ937" s="30"/>
      <c r="BA937" s="30"/>
    </row>
    <row r="938" spans="6:55" ht="12.95" customHeight="1">
      <c r="F938" s="1629" t="s">
        <v>2195</v>
      </c>
      <c r="G938" s="1630"/>
      <c r="H938" s="1630"/>
      <c r="I938" s="1630"/>
      <c r="J938" s="1630"/>
      <c r="K938" s="1630"/>
      <c r="L938" s="1630"/>
      <c r="M938" s="1630"/>
      <c r="N938" s="1630"/>
      <c r="O938" s="1630"/>
      <c r="P938" s="1630"/>
      <c r="Q938" s="1630"/>
      <c r="R938" s="1630"/>
      <c r="S938" s="1630"/>
      <c r="T938" s="1631"/>
      <c r="U938" s="1632" t="s">
        <v>590</v>
      </c>
      <c r="V938" s="1429"/>
      <c r="W938" s="1429"/>
      <c r="X938" s="1429"/>
      <c r="Y938" s="1429"/>
      <c r="Z938" s="1430"/>
      <c r="AA938" s="1636"/>
      <c r="AB938" s="1526"/>
      <c r="AC938" s="1526"/>
      <c r="AD938" s="1526"/>
      <c r="AE938" s="1526"/>
      <c r="AF938" s="1637"/>
      <c r="AZ938" s="30"/>
      <c r="BA938" s="30"/>
    </row>
    <row r="939" spans="6:55" ht="12.95" customHeight="1">
      <c r="F939" s="1629" t="s">
        <v>2196</v>
      </c>
      <c r="G939" s="1630"/>
      <c r="H939" s="1630"/>
      <c r="I939" s="1630"/>
      <c r="J939" s="1630"/>
      <c r="K939" s="1630"/>
      <c r="L939" s="1630"/>
      <c r="M939" s="1630"/>
      <c r="N939" s="1630"/>
      <c r="O939" s="1630"/>
      <c r="P939" s="1630"/>
      <c r="Q939" s="1630"/>
      <c r="R939" s="1630"/>
      <c r="S939" s="1630"/>
      <c r="T939" s="1631"/>
      <c r="U939" s="1632" t="s">
        <v>590</v>
      </c>
      <c r="V939" s="1429"/>
      <c r="W939" s="1429"/>
      <c r="X939" s="1429"/>
      <c r="Y939" s="1429"/>
      <c r="Z939" s="1430"/>
      <c r="AA939" s="1636"/>
      <c r="AB939" s="1526"/>
      <c r="AC939" s="1526"/>
      <c r="AD939" s="1526"/>
      <c r="AE939" s="1526"/>
      <c r="AF939" s="1637"/>
      <c r="AZ939" s="30"/>
      <c r="BA939" s="30"/>
    </row>
    <row r="940" spans="6:55" ht="12.95" customHeight="1">
      <c r="F940" s="1629" t="s">
        <v>2197</v>
      </c>
      <c r="G940" s="1630"/>
      <c r="H940" s="1630"/>
      <c r="I940" s="1630"/>
      <c r="J940" s="1630"/>
      <c r="K940" s="1630"/>
      <c r="L940" s="1630"/>
      <c r="M940" s="1630"/>
      <c r="N940" s="1630"/>
      <c r="O940" s="1630"/>
      <c r="P940" s="1630"/>
      <c r="Q940" s="1630"/>
      <c r="R940" s="1630"/>
      <c r="S940" s="1630"/>
      <c r="T940" s="1631"/>
      <c r="U940" s="1632" t="s">
        <v>590</v>
      </c>
      <c r="V940" s="1429"/>
      <c r="W940" s="1429"/>
      <c r="X940" s="1429"/>
      <c r="Y940" s="1429"/>
      <c r="Z940" s="1430"/>
      <c r="AA940" s="1636"/>
      <c r="AB940" s="1526"/>
      <c r="AC940" s="1526"/>
      <c r="AD940" s="1526"/>
      <c r="AE940" s="1526"/>
      <c r="AF940" s="1637"/>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632" t="s">
        <v>590</v>
      </c>
      <c r="V941" s="1429"/>
      <c r="W941" s="1429"/>
      <c r="X941" s="1429"/>
      <c r="Y941" s="1429"/>
      <c r="Z941" s="1430"/>
      <c r="AA941" s="1636"/>
      <c r="AB941" s="1526"/>
      <c r="AC941" s="1526"/>
      <c r="AD941" s="1526"/>
      <c r="AE941" s="1526"/>
      <c r="AF941" s="1637"/>
      <c r="AZ941" s="34"/>
      <c r="BA941" s="34"/>
      <c r="BB941" s="14"/>
      <c r="BC941" s="14"/>
    </row>
    <row r="942" spans="6:55" ht="12.95" customHeight="1">
      <c r="F942" s="1633" t="s">
        <v>2200</v>
      </c>
      <c r="G942" s="1634"/>
      <c r="H942" s="1634"/>
      <c r="I942" s="1634"/>
      <c r="J942" s="1634"/>
      <c r="K942" s="1634"/>
      <c r="L942" s="1634"/>
      <c r="M942" s="1634"/>
      <c r="N942" s="1634"/>
      <c r="O942" s="1634"/>
      <c r="P942" s="1634"/>
      <c r="Q942" s="1634"/>
      <c r="R942" s="1634"/>
      <c r="S942" s="1634"/>
      <c r="T942" s="1635"/>
      <c r="U942" s="1632" t="s">
        <v>590</v>
      </c>
      <c r="V942" s="1429"/>
      <c r="W942" s="1429"/>
      <c r="X942" s="1429"/>
      <c r="Y942" s="1429"/>
      <c r="Z942" s="1430"/>
      <c r="AA942" s="1636"/>
      <c r="AB942" s="1526"/>
      <c r="AC942" s="1526"/>
      <c r="AD942" s="1526"/>
      <c r="AE942" s="1526"/>
      <c r="AF942" s="1637"/>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632" t="s">
        <v>590</v>
      </c>
      <c r="V943" s="1429"/>
      <c r="W943" s="1429"/>
      <c r="X943" s="1429"/>
      <c r="Y943" s="1429"/>
      <c r="Z943" s="1430"/>
      <c r="AA943" s="1636"/>
      <c r="AB943" s="1526"/>
      <c r="AC943" s="1526"/>
      <c r="AD943" s="1526"/>
      <c r="AE943" s="1526"/>
      <c r="AF943" s="1637"/>
      <c r="AZ943" s="34"/>
      <c r="BA943" s="34"/>
      <c r="BB943" s="34"/>
      <c r="BC943" s="34"/>
    </row>
    <row r="944" spans="6:55" ht="12.95" customHeight="1">
      <c r="F944" s="1633" t="s">
        <v>2201</v>
      </c>
      <c r="G944" s="1634"/>
      <c r="H944" s="1634"/>
      <c r="I944" s="1634"/>
      <c r="J944" s="1634"/>
      <c r="K944" s="1634"/>
      <c r="L944" s="1634"/>
      <c r="M944" s="1634"/>
      <c r="N944" s="1634"/>
      <c r="O944" s="1634"/>
      <c r="P944" s="1634"/>
      <c r="Q944" s="1634"/>
      <c r="R944" s="1634"/>
      <c r="S944" s="1634"/>
      <c r="T944" s="1635"/>
      <c r="U944" s="1632" t="s">
        <v>590</v>
      </c>
      <c r="V944" s="1429"/>
      <c r="W944" s="1429"/>
      <c r="X944" s="1429"/>
      <c r="Y944" s="1429"/>
      <c r="Z944" s="1430"/>
      <c r="AA944" s="1636"/>
      <c r="AB944" s="1526"/>
      <c r="AC944" s="1526"/>
      <c r="AD944" s="1526"/>
      <c r="AE944" s="1526"/>
      <c r="AF944" s="1637"/>
      <c r="AZ944" s="34"/>
      <c r="BA944" s="34"/>
      <c r="BB944" s="34"/>
      <c r="BC944" s="34"/>
    </row>
    <row r="945" spans="1:55" ht="12.95" customHeight="1">
      <c r="F945" s="45" t="s">
        <v>805</v>
      </c>
      <c r="G945" s="5"/>
      <c r="H945" s="5"/>
      <c r="I945" s="5"/>
      <c r="J945" s="5"/>
      <c r="K945" s="5"/>
      <c r="L945" s="5"/>
      <c r="M945" s="5"/>
      <c r="N945" s="5"/>
      <c r="O945" s="5"/>
      <c r="P945" s="1632" t="s">
        <v>668</v>
      </c>
      <c r="Q945" s="1429"/>
      <c r="R945" s="1429"/>
      <c r="S945" s="1429"/>
      <c r="T945" s="1430"/>
      <c r="U945" s="1632" t="s">
        <v>590</v>
      </c>
      <c r="V945" s="1429"/>
      <c r="W945" s="1429"/>
      <c r="X945" s="1429"/>
      <c r="Y945" s="1429"/>
      <c r="Z945" s="1430"/>
      <c r="AA945" s="1636"/>
      <c r="AB945" s="1526"/>
      <c r="AC945" s="1526"/>
      <c r="AD945" s="1526"/>
      <c r="AE945" s="1526"/>
      <c r="AF945" s="1637"/>
      <c r="AZ945" s="34"/>
      <c r="BA945" s="34"/>
      <c r="BB945" s="34"/>
      <c r="BC945" s="34"/>
    </row>
    <row r="946" spans="1:55" ht="12.95" customHeight="1">
      <c r="F946" s="1629" t="s">
        <v>2188</v>
      </c>
      <c r="G946" s="1630"/>
      <c r="H946" s="1631"/>
      <c r="I946" s="1646" t="s">
        <v>334</v>
      </c>
      <c r="J946" s="1647"/>
      <c r="K946" s="1647"/>
      <c r="L946" s="1647"/>
      <c r="M946" s="1647"/>
      <c r="N946" s="1647"/>
      <c r="O946" s="1647"/>
      <c r="P946" s="1647"/>
      <c r="Q946" s="1647"/>
      <c r="R946" s="1647"/>
      <c r="S946" s="1647"/>
      <c r="T946" s="1648"/>
      <c r="U946" s="1632" t="s">
        <v>590</v>
      </c>
      <c r="V946" s="1429"/>
      <c r="W946" s="1429"/>
      <c r="X946" s="1429"/>
      <c r="Y946" s="1429"/>
      <c r="Z946" s="1430"/>
      <c r="AA946" s="1636"/>
      <c r="AB946" s="1526"/>
      <c r="AC946" s="1526"/>
      <c r="AD946" s="1526"/>
      <c r="AE946" s="1526"/>
      <c r="AF946" s="1637"/>
      <c r="AZ946" s="34"/>
      <c r="BA946" s="34"/>
      <c r="BB946" s="34"/>
      <c r="BC946" s="34"/>
    </row>
    <row r="947" spans="1:55" ht="12.95" customHeight="1">
      <c r="F947" s="45" t="s">
        <v>86</v>
      </c>
      <c r="G947" s="48"/>
      <c r="H947" s="48"/>
      <c r="I947" s="1646" t="s">
        <v>334</v>
      </c>
      <c r="J947" s="1647"/>
      <c r="K947" s="1647"/>
      <c r="L947" s="1647"/>
      <c r="M947" s="1647"/>
      <c r="N947" s="1647"/>
      <c r="O947" s="1647"/>
      <c r="P947" s="1647"/>
      <c r="Q947" s="1647"/>
      <c r="R947" s="1647"/>
      <c r="S947" s="1647"/>
      <c r="T947" s="1648"/>
      <c r="U947" s="1632" t="s">
        <v>590</v>
      </c>
      <c r="V947" s="1429"/>
      <c r="W947" s="1429"/>
      <c r="X947" s="1429"/>
      <c r="Y947" s="1429"/>
      <c r="Z947" s="1430"/>
      <c r="AA947" s="1636"/>
      <c r="AB947" s="1526"/>
      <c r="AC947" s="1526"/>
      <c r="AD947" s="1526"/>
      <c r="AE947" s="1526"/>
      <c r="AF947" s="1637"/>
      <c r="AZ947" s="34"/>
      <c r="BA947" s="34"/>
      <c r="BB947" s="34"/>
      <c r="BC947" s="34"/>
    </row>
    <row r="948" spans="1:55" ht="12.95" customHeight="1">
      <c r="F948" s="45" t="s">
        <v>10</v>
      </c>
      <c r="G948" s="48"/>
      <c r="H948" s="48"/>
      <c r="I948" s="1702" t="s">
        <v>334</v>
      </c>
      <c r="J948" s="1703"/>
      <c r="K948" s="1703"/>
      <c r="L948" s="1703"/>
      <c r="M948" s="1703"/>
      <c r="N948" s="1703"/>
      <c r="O948" s="1703"/>
      <c r="P948" s="1703"/>
      <c r="Q948" s="1703"/>
      <c r="R948" s="1703"/>
      <c r="S948" s="1703"/>
      <c r="T948" s="1704"/>
      <c r="U948" s="1632" t="s">
        <v>590</v>
      </c>
      <c r="V948" s="1429"/>
      <c r="W948" s="1429"/>
      <c r="X948" s="1429"/>
      <c r="Y948" s="1429"/>
      <c r="Z948" s="1430"/>
      <c r="AA948" s="1636"/>
      <c r="AB948" s="1526"/>
      <c r="AC948" s="1526"/>
      <c r="AD948" s="1526"/>
      <c r="AE948" s="1526"/>
      <c r="AF948" s="1637"/>
      <c r="AV948" s="2"/>
      <c r="AW948" s="2"/>
      <c r="AX948" s="2"/>
      <c r="AY948" s="2"/>
      <c r="AZ948" s="34"/>
      <c r="BA948" s="34"/>
      <c r="BB948" s="34"/>
      <c r="BC948" s="34"/>
    </row>
    <row r="949" spans="1:55" ht="12.95" customHeight="1">
      <c r="F949" s="47" t="s">
        <v>170</v>
      </c>
      <c r="G949" s="48"/>
      <c r="H949" s="48"/>
      <c r="I949" s="1702" t="str">
        <f>'[1]Data Port'!$B$1225</f>
        <v>LIHTC Credits</v>
      </c>
      <c r="J949" s="1703"/>
      <c r="K949" s="1703"/>
      <c r="L949" s="1703"/>
      <c r="M949" s="1703"/>
      <c r="N949" s="1703"/>
      <c r="O949" s="1703"/>
      <c r="P949" s="1703"/>
      <c r="Q949" s="1703"/>
      <c r="R949" s="1703"/>
      <c r="S949" s="1703"/>
      <c r="T949" s="1704"/>
      <c r="U949" s="1632" t="s">
        <v>590</v>
      </c>
      <c r="V949" s="1429"/>
      <c r="W949" s="1429"/>
      <c r="X949" s="1429"/>
      <c r="Y949" s="1429"/>
      <c r="Z949" s="1430"/>
      <c r="AA949" s="1636">
        <f>'[1]Data Port'!$G$1225</f>
        <v>44494943</v>
      </c>
      <c r="AB949" s="1526"/>
      <c r="AC949" s="1526"/>
      <c r="AD949" s="1526"/>
      <c r="AE949" s="1526"/>
      <c r="AF949" s="1637"/>
      <c r="AU949" s="2"/>
      <c r="AZ949" s="34"/>
      <c r="BA949" s="34"/>
      <c r="BB949" s="34"/>
      <c r="BC949" s="34"/>
    </row>
    <row r="950" spans="1:55" ht="12.95" customHeight="1">
      <c r="F950" s="47" t="s">
        <v>170</v>
      </c>
      <c r="G950" s="48"/>
      <c r="H950" s="48"/>
      <c r="I950" s="1702" t="str">
        <f>'[1]Data Port'!$B$1226</f>
        <v>Recycled Bonds</v>
      </c>
      <c r="J950" s="1703"/>
      <c r="K950" s="1703"/>
      <c r="L950" s="1703"/>
      <c r="M950" s="1703"/>
      <c r="N950" s="1703"/>
      <c r="O950" s="1703"/>
      <c r="P950" s="1703"/>
      <c r="Q950" s="1703"/>
      <c r="R950" s="1703"/>
      <c r="S950" s="1703"/>
      <c r="T950" s="1704"/>
      <c r="U950" s="1632" t="s">
        <v>590</v>
      </c>
      <c r="V950" s="1429"/>
      <c r="W950" s="1429"/>
      <c r="X950" s="1429"/>
      <c r="Y950" s="1429"/>
      <c r="Z950" s="1430"/>
      <c r="AA950" s="1636">
        <f>'[1]Data Port'!$G$1226</f>
        <v>10108828</v>
      </c>
      <c r="AB950" s="1526"/>
      <c r="AC950" s="1526"/>
      <c r="AD950" s="1526"/>
      <c r="AE950" s="1526"/>
      <c r="AF950" s="1637"/>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6"/>
      <c r="N955" s="1522"/>
      <c r="O955" s="1522"/>
      <c r="P955" s="1522"/>
      <c r="Q955" s="1522"/>
      <c r="R955" s="1522"/>
      <c r="S955" s="1627"/>
      <c r="U955" s="66" t="s">
        <v>11</v>
      </c>
      <c r="V955" s="5"/>
      <c r="W955" s="5"/>
      <c r="X955" s="5"/>
      <c r="Y955" s="5"/>
      <c r="Z955" s="5"/>
      <c r="AA955" s="5"/>
      <c r="AB955" s="5"/>
      <c r="AC955" s="5"/>
      <c r="AD955" s="46"/>
      <c r="AE955" s="1706"/>
      <c r="AF955" s="1522"/>
      <c r="AG955" s="1522"/>
      <c r="AH955" s="1522"/>
      <c r="AI955" s="1522"/>
      <c r="AJ955" s="1522"/>
      <c r="AK955" s="1627"/>
      <c r="AZ955" s="34"/>
      <c r="BA955" s="34"/>
      <c r="BB955" s="34"/>
      <c r="BC955" s="34"/>
    </row>
    <row r="956" spans="1:55" ht="12.95" customHeight="1">
      <c r="C956" s="66" t="s">
        <v>12</v>
      </c>
      <c r="D956" s="5"/>
      <c r="E956" s="5"/>
      <c r="F956" s="5"/>
      <c r="G956" s="5"/>
      <c r="H956" s="5"/>
      <c r="I956" s="5"/>
      <c r="J956" s="5"/>
      <c r="K956" s="5"/>
      <c r="L956" s="46"/>
      <c r="M956" s="1665"/>
      <c r="N956" s="1570"/>
      <c r="O956" s="1570"/>
      <c r="P956" s="1570"/>
      <c r="Q956" s="1570"/>
      <c r="R956" s="1570"/>
      <c r="S956" s="1666"/>
      <c r="U956" s="66" t="s">
        <v>12</v>
      </c>
      <c r="V956" s="5"/>
      <c r="W956" s="5"/>
      <c r="X956" s="5"/>
      <c r="Y956" s="5"/>
      <c r="Z956" s="5"/>
      <c r="AA956" s="5"/>
      <c r="AB956" s="5"/>
      <c r="AC956" s="5"/>
      <c r="AD956" s="46"/>
      <c r="AE956" s="1665"/>
      <c r="AF956" s="1570"/>
      <c r="AG956" s="1570"/>
      <c r="AH956" s="1570"/>
      <c r="AI956" s="1570"/>
      <c r="AJ956" s="1570"/>
      <c r="AK956" s="1666"/>
      <c r="AZ956" s="34"/>
      <c r="BA956" s="34"/>
      <c r="BB956" s="34"/>
      <c r="BC956" s="34"/>
    </row>
    <row r="957" spans="1:55" ht="12.95" customHeight="1">
      <c r="C957" s="66" t="s">
        <v>879</v>
      </c>
      <c r="D957" s="5"/>
      <c r="E957" s="5"/>
      <c r="J957" s="1810" t="s">
        <v>307</v>
      </c>
      <c r="K957" s="1811"/>
      <c r="L957" s="1811"/>
      <c r="M957" s="1811"/>
      <c r="N957" s="1811"/>
      <c r="O957" s="1811"/>
      <c r="P957" s="1811"/>
      <c r="Q957" s="1811"/>
      <c r="R957" s="1811"/>
      <c r="S957" s="1812"/>
      <c r="U957" s="66" t="s">
        <v>879</v>
      </c>
      <c r="V957" s="5"/>
      <c r="W957" s="5"/>
      <c r="AB957" s="1810" t="s">
        <v>307</v>
      </c>
      <c r="AC957" s="1811"/>
      <c r="AD957" s="1811"/>
      <c r="AE957" s="1811"/>
      <c r="AF957" s="1811"/>
      <c r="AG957" s="1811"/>
      <c r="AH957" s="1811"/>
      <c r="AI957" s="1811"/>
      <c r="AJ957" s="1811"/>
      <c r="AK957" s="1812"/>
      <c r="AZ957" s="34"/>
      <c r="BA957" s="34"/>
      <c r="BB957" s="34"/>
      <c r="BC957" s="34"/>
    </row>
    <row r="958" spans="1:55" ht="12.95" customHeight="1">
      <c r="C958" s="66" t="s">
        <v>13</v>
      </c>
      <c r="D958" s="5"/>
      <c r="E958" s="5"/>
      <c r="F958" s="5"/>
      <c r="G958" s="5"/>
      <c r="H958" s="5"/>
      <c r="I958" s="5"/>
      <c r="J958" s="5"/>
      <c r="K958" s="5"/>
      <c r="L958" s="46"/>
      <c r="M958" s="1707"/>
      <c r="N958" s="1708"/>
      <c r="O958" s="1708"/>
      <c r="P958" s="1708"/>
      <c r="Q958" s="1708"/>
      <c r="R958" s="1708"/>
      <c r="S958" s="1709"/>
      <c r="U958" s="66" t="s">
        <v>13</v>
      </c>
      <c r="V958" s="5"/>
      <c r="W958" s="5"/>
      <c r="X958" s="5"/>
      <c r="Y958" s="5"/>
      <c r="Z958" s="5"/>
      <c r="AA958" s="5"/>
      <c r="AB958" s="5"/>
      <c r="AC958" s="5"/>
      <c r="AD958" s="46"/>
      <c r="AE958" s="1781"/>
      <c r="AF958" s="1708"/>
      <c r="AG958" s="1708"/>
      <c r="AH958" s="1708"/>
      <c r="AI958" s="1708"/>
      <c r="AJ958" s="1708"/>
      <c r="AK958" s="1709"/>
      <c r="AZ958" s="34"/>
      <c r="BA958" s="34"/>
      <c r="BB958" s="34"/>
      <c r="BC958" s="34"/>
    </row>
    <row r="959" spans="1:55" ht="12.95" customHeight="1">
      <c r="C959" s="66" t="s">
        <v>14</v>
      </c>
      <c r="D959" s="5"/>
      <c r="E959" s="5"/>
      <c r="F959" s="5"/>
      <c r="G959" s="5"/>
      <c r="H959" s="5"/>
      <c r="I959" s="5"/>
      <c r="J959" s="5"/>
      <c r="K959" s="5"/>
      <c r="L959" s="46"/>
      <c r="M959" s="1727"/>
      <c r="N959" s="1612"/>
      <c r="O959" s="1612"/>
      <c r="P959" s="1612"/>
      <c r="Q959" s="1612"/>
      <c r="R959" s="1612"/>
      <c r="S959" s="1613"/>
      <c r="U959" s="66" t="s">
        <v>14</v>
      </c>
      <c r="V959" s="5"/>
      <c r="W959" s="5"/>
      <c r="X959" s="5"/>
      <c r="Y959" s="5"/>
      <c r="Z959" s="5"/>
      <c r="AA959" s="5"/>
      <c r="AB959" s="5"/>
      <c r="AC959" s="5"/>
      <c r="AD959" s="46"/>
      <c r="AE959" s="1727"/>
      <c r="AF959" s="1612"/>
      <c r="AG959" s="1612"/>
      <c r="AH959" s="1612"/>
      <c r="AI959" s="1612"/>
      <c r="AJ959" s="1612"/>
      <c r="AK959" s="1613"/>
      <c r="AV959" s="2"/>
      <c r="AW959" s="2"/>
      <c r="AX959" s="2"/>
      <c r="AY959" s="2"/>
      <c r="AZ959" s="34"/>
      <c r="BA959" s="34"/>
      <c r="BB959" s="34"/>
      <c r="BC959" s="34"/>
    </row>
    <row r="960" spans="1:55" ht="12.95"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2.95"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2.95" customHeight="1">
      <c r="C962" s="121" t="s">
        <v>1659</v>
      </c>
      <c r="D962" s="5"/>
      <c r="E962" s="5"/>
      <c r="F962" s="5"/>
      <c r="G962" s="5"/>
      <c r="H962" s="5"/>
      <c r="I962" s="5"/>
      <c r="J962" s="5"/>
      <c r="K962" s="5"/>
      <c r="L962" s="46"/>
      <c r="M962" s="1778"/>
      <c r="N962" s="1779"/>
      <c r="O962" s="1779"/>
      <c r="P962" s="1779"/>
      <c r="Q962" s="1779"/>
      <c r="R962" s="1779"/>
      <c r="S962" s="1780"/>
      <c r="U962" s="121" t="s">
        <v>1659</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62"/>
      <c r="N967" s="1663"/>
      <c r="O967" s="1663"/>
      <c r="P967" s="1663"/>
      <c r="Q967" s="1663"/>
      <c r="R967" s="1663"/>
      <c r="S967" s="1664"/>
      <c r="T967" s="66" t="s">
        <v>789</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62"/>
      <c r="N968" s="1663"/>
      <c r="O968" s="1663"/>
      <c r="P968" s="1663"/>
      <c r="Q968" s="1663"/>
      <c r="R968" s="1663"/>
      <c r="S968" s="1664"/>
      <c r="T968" s="66" t="s">
        <v>788</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10" t="s">
        <v>590</v>
      </c>
      <c r="N969" s="1711"/>
      <c r="O969" s="1711"/>
      <c r="P969" s="1711"/>
      <c r="Q969" s="1711"/>
      <c r="R969" s="1711"/>
      <c r="S969" s="1712"/>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10" t="s">
        <v>307</v>
      </c>
      <c r="N972" s="1811"/>
      <c r="O972" s="1811"/>
      <c r="P972" s="1811"/>
      <c r="Q972" s="1811"/>
      <c r="R972" s="1811"/>
      <c r="S972" s="1812"/>
      <c r="T972" s="1765"/>
      <c r="U972" s="1766"/>
      <c r="V972" s="1766"/>
      <c r="W972" s="1766"/>
      <c r="X972" s="1766"/>
      <c r="Y972" s="1766"/>
      <c r="Z972" s="1767"/>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62"/>
      <c r="N973" s="1663"/>
      <c r="O973" s="1663"/>
      <c r="P973" s="1663"/>
      <c r="Q973" s="1663"/>
      <c r="R973" s="1663"/>
      <c r="S973" s="1664"/>
      <c r="T973" s="1765"/>
      <c r="U973" s="1766"/>
      <c r="V973" s="1766"/>
      <c r="W973" s="1766"/>
      <c r="X973" s="1766"/>
      <c r="Y973" s="1766"/>
      <c r="Z973" s="1767"/>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1" t="s">
        <v>668</v>
      </c>
      <c r="P974" s="1373"/>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2.95" customHeight="1">
      <c r="F975" s="1607" t="s">
        <v>33</v>
      </c>
      <c r="G975" s="1485"/>
      <c r="H975" s="1485"/>
      <c r="I975" s="1485"/>
      <c r="J975" s="1485"/>
      <c r="K975" s="1485"/>
      <c r="L975" s="1485"/>
      <c r="M975" s="1662"/>
      <c r="N975" s="1663"/>
      <c r="O975" s="1663"/>
      <c r="P975" s="1663"/>
      <c r="Q975" s="1663"/>
      <c r="R975" s="1663"/>
      <c r="S975" s="1664"/>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547</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3" t="s">
        <v>637</v>
      </c>
      <c r="E985" s="1794"/>
      <c r="F985" s="1794"/>
      <c r="G985" s="1794"/>
      <c r="H985" s="1794"/>
      <c r="I985" s="1794"/>
      <c r="J985" s="1794"/>
      <c r="K985" s="1794"/>
      <c r="L985" s="1794"/>
      <c r="M985" s="1794"/>
      <c r="N985" s="1794"/>
      <c r="O985" s="1794"/>
      <c r="P985" s="1794"/>
      <c r="Q985" s="1795"/>
      <c r="R985" s="1793" t="s">
        <v>638</v>
      </c>
      <c r="S985" s="1794"/>
      <c r="T985" s="1794"/>
      <c r="U985" s="1794"/>
      <c r="V985" s="1794"/>
      <c r="W985" s="1794"/>
      <c r="X985" s="1794"/>
      <c r="Y985" s="1794"/>
      <c r="Z985" s="1794"/>
      <c r="AA985" s="1795"/>
      <c r="AB985" s="1793" t="s">
        <v>639</v>
      </c>
      <c r="AC985" s="1794"/>
      <c r="AD985" s="1794"/>
      <c r="AE985" s="1794"/>
      <c r="AF985" s="1794"/>
      <c r="AG985" s="1794"/>
      <c r="AH985" s="1794"/>
      <c r="AI985" s="1795"/>
      <c r="AJ985" s="1793" t="s">
        <v>640</v>
      </c>
      <c r="AK985" s="1794"/>
      <c r="AL985" s="1794"/>
      <c r="AM985" s="1794"/>
      <c r="AN985" s="1794"/>
      <c r="AO985" s="1794"/>
      <c r="AP985" s="1794"/>
      <c r="AQ985" s="1795"/>
      <c r="AR985" s="68"/>
      <c r="AS985" s="68"/>
      <c r="AT985" s="68"/>
      <c r="AU985" s="68"/>
      <c r="AV985" s="68"/>
      <c r="AW985" s="68"/>
      <c r="AX985" s="68"/>
      <c r="AY985" s="68"/>
      <c r="AZ985" s="30"/>
      <c r="BB985" s="14"/>
      <c r="BC985" s="14"/>
    </row>
    <row r="986" spans="1:64" ht="12.95" customHeight="1">
      <c r="A986" s="14"/>
      <c r="B986" s="73"/>
      <c r="C986" s="929"/>
      <c r="D986" s="1799" t="s">
        <v>632</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437727</v>
      </c>
      <c r="S986" s="1786"/>
      <c r="T986" s="1786"/>
      <c r="U986" s="1786"/>
      <c r="V986" s="1786"/>
      <c r="W986" s="1786"/>
      <c r="X986" s="1786"/>
      <c r="Y986" s="1786"/>
      <c r="Z986" s="1786"/>
      <c r="AA986" s="1786"/>
      <c r="AB986" s="1783">
        <f>CP802</f>
        <v>68</v>
      </c>
      <c r="AC986" s="1784"/>
      <c r="AD986" s="1784"/>
      <c r="AE986" s="1784"/>
      <c r="AF986" s="1784"/>
      <c r="AG986" s="1784"/>
      <c r="AH986" s="1784"/>
      <c r="AI986" s="1785"/>
      <c r="AJ986" s="1719">
        <f>IF(ISERROR((R986*AB986)),0,(R986*AB986))</f>
        <v>29765436</v>
      </c>
      <c r="AK986" s="1720"/>
      <c r="AL986" s="1720"/>
      <c r="AM986" s="1720"/>
      <c r="AN986" s="1720"/>
      <c r="AO986" s="1720"/>
      <c r="AP986" s="1720"/>
      <c r="AQ986" s="1721"/>
      <c r="AR986" s="68"/>
      <c r="AS986" s="68"/>
      <c r="AT986" s="68"/>
      <c r="AU986" s="68"/>
      <c r="AV986" s="68"/>
      <c r="AW986" s="68"/>
      <c r="AX986" s="68"/>
      <c r="AY986" s="68"/>
      <c r="AZ986" s="30"/>
      <c r="BB986" s="14"/>
      <c r="BC986" s="14"/>
    </row>
    <row r="987" spans="1:64" ht="12.95"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504695</v>
      </c>
      <c r="S987" s="1786"/>
      <c r="T987" s="1786"/>
      <c r="U987" s="1786"/>
      <c r="V987" s="1786"/>
      <c r="W987" s="1786"/>
      <c r="X987" s="1786"/>
      <c r="Y987" s="1786"/>
      <c r="Z987" s="1786"/>
      <c r="AA987" s="1786"/>
      <c r="AB987" s="1783">
        <f>CU802</f>
        <v>224</v>
      </c>
      <c r="AC987" s="1784"/>
      <c r="AD987" s="1784"/>
      <c r="AE987" s="1784"/>
      <c r="AF987" s="1784"/>
      <c r="AG987" s="1784"/>
      <c r="AH987" s="1784"/>
      <c r="AI987" s="1785"/>
      <c r="AJ987" s="1719">
        <f>IF(ISERROR((R987*AB987)),0,(R987*AB987))</f>
        <v>113051680</v>
      </c>
      <c r="AK987" s="1720"/>
      <c r="AL987" s="1720"/>
      <c r="AM987" s="1720"/>
      <c r="AN987" s="1720"/>
      <c r="AO987" s="1720"/>
      <c r="AP987" s="1720"/>
      <c r="AQ987" s="1721"/>
      <c r="AR987" s="68"/>
      <c r="AS987" s="68"/>
      <c r="AT987" s="68"/>
      <c r="AU987" s="68"/>
      <c r="AV987" s="68"/>
      <c r="AW987" s="68"/>
      <c r="AX987" s="68"/>
      <c r="AY987" s="68"/>
      <c r="AZ987" s="30"/>
      <c r="BB987" s="14"/>
      <c r="BC987" s="14"/>
    </row>
    <row r="988" spans="1:64" ht="12.95"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608800</v>
      </c>
      <c r="S988" s="1786"/>
      <c r="T988" s="1786"/>
      <c r="U988" s="1786"/>
      <c r="V988" s="1786"/>
      <c r="W988" s="1786"/>
      <c r="X988" s="1786"/>
      <c r="Y988" s="1786"/>
      <c r="Z988" s="1786"/>
      <c r="AA988" s="1786"/>
      <c r="AB988" s="1783">
        <f>CZ802</f>
        <v>50</v>
      </c>
      <c r="AC988" s="1784"/>
      <c r="AD988" s="1784"/>
      <c r="AE988" s="1784"/>
      <c r="AF988" s="1784"/>
      <c r="AG988" s="1784"/>
      <c r="AH988" s="1784"/>
      <c r="AI988" s="1785"/>
      <c r="AJ988" s="1719">
        <f>IF(ISERROR((R988*AB988)),0,(R988*AB988))</f>
        <v>30440000</v>
      </c>
      <c r="AK988" s="1720"/>
      <c r="AL988" s="1720"/>
      <c r="AM988" s="1720"/>
      <c r="AN988" s="1720"/>
      <c r="AO988" s="1720"/>
      <c r="AP988" s="1720"/>
      <c r="AQ988" s="1721"/>
      <c r="AR988" s="68"/>
      <c r="AS988" s="68"/>
      <c r="AT988" s="68"/>
      <c r="AU988" s="68"/>
      <c r="AV988" s="68"/>
      <c r="AW988" s="68"/>
      <c r="AX988" s="68"/>
      <c r="AY988" s="68"/>
      <c r="AZ988" s="30"/>
      <c r="BB988" s="14"/>
      <c r="BC988" s="14"/>
    </row>
    <row r="989" spans="1:64" ht="12.95"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779264</v>
      </c>
      <c r="S989" s="1786"/>
      <c r="T989" s="1786"/>
      <c r="U989" s="1786"/>
      <c r="V989" s="1786"/>
      <c r="W989" s="1786"/>
      <c r="X989" s="1786"/>
      <c r="Y989" s="1786"/>
      <c r="Z989" s="1786"/>
      <c r="AA989" s="1786"/>
      <c r="AB989" s="1783">
        <f>DE802</f>
        <v>0</v>
      </c>
      <c r="AC989" s="1784"/>
      <c r="AD989" s="1784"/>
      <c r="AE989" s="1784"/>
      <c r="AF989" s="1784"/>
      <c r="AG989" s="1784"/>
      <c r="AH989" s="1784"/>
      <c r="AI989" s="1785"/>
      <c r="AJ989" s="1719">
        <f>IF(ISERROR((R989*AB989)),0,(R989*AB989))</f>
        <v>0</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2.95" customHeight="1">
      <c r="A990" s="14"/>
      <c r="B990" s="47"/>
      <c r="C990" s="78"/>
      <c r="D990" s="1799" t="s">
        <v>459</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868149</v>
      </c>
      <c r="S990" s="1786"/>
      <c r="T990" s="1786"/>
      <c r="U990" s="1786"/>
      <c r="V990" s="1786"/>
      <c r="W990" s="1786"/>
      <c r="X990" s="1786"/>
      <c r="Y990" s="1786"/>
      <c r="Z990" s="1786"/>
      <c r="AA990" s="1786"/>
      <c r="AB990" s="1783">
        <f>DO802+DJ802</f>
        <v>0</v>
      </c>
      <c r="AC990" s="1784"/>
      <c r="AD990" s="1784"/>
      <c r="AE990" s="1784"/>
      <c r="AF990" s="1784"/>
      <c r="AG990" s="1784"/>
      <c r="AH990" s="1784"/>
      <c r="AI990" s="1785"/>
      <c r="AJ990" s="1719">
        <f>IF(ISERROR((R990*AB990)),0,(R990*AB990))</f>
        <v>0</v>
      </c>
      <c r="AK990" s="1720"/>
      <c r="AL990" s="1720"/>
      <c r="AM990" s="1720"/>
      <c r="AN990" s="1720"/>
      <c r="AO990" s="1720"/>
      <c r="AP990" s="1720"/>
      <c r="AQ990" s="1721"/>
      <c r="AR990" s="68"/>
      <c r="AS990" s="68"/>
      <c r="AT990" s="68"/>
      <c r="AU990" s="68"/>
      <c r="AV990" s="68"/>
      <c r="AW990" s="68"/>
      <c r="AX990" s="68"/>
      <c r="AY990" s="68"/>
      <c r="AZ990" s="30"/>
      <c r="BB990" s="14"/>
      <c r="BC990" s="14"/>
    </row>
    <row r="991" spans="1:64" ht="12.95" customHeight="1">
      <c r="A991" s="14"/>
      <c r="B991" s="1740" t="s">
        <v>790</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3">
        <f>SUM(AB986:AI990)</f>
        <v>342</v>
      </c>
      <c r="AC991" s="1784"/>
      <c r="AD991" s="1784"/>
      <c r="AE991" s="1784"/>
      <c r="AF991" s="1784"/>
      <c r="AG991" s="1784"/>
      <c r="AH991" s="1784"/>
      <c r="AI991" s="1785"/>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2.95" customHeight="1">
      <c r="A992" s="14"/>
      <c r="B992" s="1796" t="s">
        <v>511</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9">
        <f>SUM(AJ986:AQ990)</f>
        <v>173257116</v>
      </c>
      <c r="AK992" s="1720"/>
      <c r="AL992" s="1720"/>
      <c r="AM992" s="1720"/>
      <c r="AN992" s="1720"/>
      <c r="AO992" s="1720"/>
      <c r="AP992" s="1720"/>
      <c r="AQ992" s="1721"/>
      <c r="AR992" s="68"/>
      <c r="AS992" s="68"/>
      <c r="AT992" s="68"/>
      <c r="AU992" s="68"/>
      <c r="AV992" s="68"/>
      <c r="AW992" s="68"/>
      <c r="AX992" s="68"/>
      <c r="AY992" s="68"/>
      <c r="AZ992" s="34"/>
      <c r="BB992" s="34"/>
      <c r="BC992" s="34"/>
    </row>
    <row r="993" spans="1:55" ht="12.95"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8" t="s">
        <v>665</v>
      </c>
      <c r="AG993" s="1829"/>
      <c r="AH993" s="1829"/>
      <c r="AI993" s="1830"/>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2.95" customHeight="1">
      <c r="A994" s="14"/>
      <c r="B994" s="73"/>
      <c r="C994" s="927" t="s">
        <v>667</v>
      </c>
      <c r="D994" s="1737" t="s">
        <v>1218</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1" t="s">
        <v>668</v>
      </c>
      <c r="AH994" s="1832"/>
      <c r="AI994" s="87"/>
      <c r="AJ994" s="1728">
        <f>ROUND(IF(AND(AG994="yes",D1000&gt;0),AJ992*0.2,0),0)</f>
        <v>0</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2.95" customHeight="1">
      <c r="A995" s="14"/>
      <c r="B995" s="257"/>
      <c r="C995" s="256"/>
      <c r="D995" s="1771" t="s">
        <v>2231</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2.95"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2.95"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2.95"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2.95" customHeight="1">
      <c r="A999" s="14"/>
      <c r="B999" s="257"/>
      <c r="C999" s="256"/>
      <c r="D999" s="1774" t="s">
        <v>2202</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2.95" customHeight="1">
      <c r="A1000" s="14"/>
      <c r="B1000" s="257"/>
      <c r="C1000" s="256"/>
      <c r="D1000" s="1743"/>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2.95" customHeight="1">
      <c r="A1001" s="14"/>
      <c r="B1001" s="255"/>
      <c r="C1001" s="318"/>
      <c r="D1001" s="1768" t="s">
        <v>1284</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668</v>
      </c>
      <c r="AH1001" s="1755"/>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2.95" customHeight="1">
      <c r="A1002" s="14"/>
      <c r="B1002" s="257"/>
      <c r="C1002" s="82"/>
      <c r="D1002" s="1771" t="s">
        <v>1282</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2.95"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G753+O797</f>
        <v>342</v>
      </c>
      <c r="AZ1003" s="34"/>
      <c r="BB1003" s="34"/>
    </row>
    <row r="1004" spans="1:55" ht="12.95"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2.95"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ROUNDDOWN(X1048/I1048,2)</f>
        <v>0.1</v>
      </c>
      <c r="AZ1005" s="34"/>
      <c r="BB1005" s="34"/>
    </row>
    <row r="1006" spans="1:55" ht="12.95"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ROUNDDOWN(X1052/I1052,2)</f>
        <v>0.1</v>
      </c>
      <c r="AZ1006" s="34"/>
      <c r="BB1006" s="34"/>
    </row>
    <row r="1007" spans="1:55" ht="12.95" customHeight="1">
      <c r="A1007" s="14"/>
      <c r="B1007" s="255"/>
      <c r="C1007" s="80" t="s">
        <v>671</v>
      </c>
      <c r="D1007" s="1768" t="s">
        <v>1681</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544</v>
      </c>
      <c r="AH1007" s="1755"/>
      <c r="AI1007" s="87"/>
      <c r="AJ1007" s="1728">
        <f>ROUND(IF(AG1007="yes",AJ992*0.1,0),0)</f>
        <v>17325712</v>
      </c>
      <c r="AK1007" s="1729"/>
      <c r="AL1007" s="1729"/>
      <c r="AM1007" s="1729"/>
      <c r="AN1007" s="1729"/>
      <c r="AO1007" s="1729"/>
      <c r="AP1007" s="1729"/>
      <c r="AQ1007" s="1730"/>
      <c r="AR1007" s="68"/>
      <c r="AS1007" s="68"/>
      <c r="AT1007" s="68"/>
      <c r="AU1007" s="68"/>
      <c r="AV1007" s="68"/>
      <c r="AW1007" s="68"/>
      <c r="AX1007" s="68"/>
      <c r="BB1007" s="34"/>
    </row>
    <row r="1008" spans="1:55" ht="12.95" customHeight="1">
      <c r="A1008" s="14"/>
      <c r="B1008" s="73"/>
      <c r="C1008" s="74"/>
      <c r="D1008" s="1699" t="s">
        <v>1283</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2.95"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2.95" customHeight="1">
      <c r="A1011" s="14"/>
      <c r="B1011" s="79"/>
      <c r="C1011" s="80" t="s">
        <v>212</v>
      </c>
      <c r="D1011" s="1768" t="s">
        <v>1285</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668</v>
      </c>
      <c r="AH1011" s="1755"/>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6" t="s">
        <v>1286</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1839</v>
      </c>
      <c r="AZ1012" s="3" t="s">
        <v>2603</v>
      </c>
    </row>
    <row r="1013" spans="1:52" ht="12.95" customHeight="1">
      <c r="A1013" s="14"/>
      <c r="B1013" s="79"/>
      <c r="C1013" s="80" t="s">
        <v>215</v>
      </c>
      <c r="D1013" s="1768" t="s">
        <v>1287</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668</v>
      </c>
      <c r="AH1013" s="1755"/>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9" t="s">
        <v>1288</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4" t="str">
        <f>IF(AND(AG1013="yes",T212&lt;&gt;1),"The project may not be eligible for this boost","")</f>
        <v/>
      </c>
      <c r="AG1014" s="1855"/>
      <c r="AH1014" s="1855"/>
      <c r="AI1014" s="1856"/>
      <c r="AJ1014" s="1731"/>
      <c r="AK1014" s="1732"/>
      <c r="AL1014" s="1732"/>
      <c r="AM1014" s="1732"/>
      <c r="AN1014" s="1732"/>
      <c r="AO1014" s="1732"/>
      <c r="AP1014" s="1732"/>
      <c r="AQ1014" s="1733"/>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7"/>
      <c r="AG1015" s="1858"/>
      <c r="AH1015" s="1858"/>
      <c r="AI1015" s="1859"/>
      <c r="AJ1015" s="1734"/>
      <c r="AK1015" s="1735"/>
      <c r="AL1015" s="1735"/>
      <c r="AM1015" s="1735"/>
      <c r="AN1015" s="1735"/>
      <c r="AO1015" s="1735"/>
      <c r="AP1015" s="1735"/>
      <c r="AQ1015" s="1736"/>
      <c r="AR1015" s="68"/>
      <c r="AS1015" s="68"/>
      <c r="AT1015" s="68"/>
      <c r="AU1015" s="68"/>
      <c r="AV1015" s="68"/>
      <c r="AW1015" s="68"/>
      <c r="AX1015" s="3">
        <v>3</v>
      </c>
      <c r="AY1015" s="200">
        <f t="shared" si="53"/>
        <v>0</v>
      </c>
      <c r="AZ1015" s="1255">
        <v>0.05</v>
      </c>
    </row>
    <row r="1016" spans="1:52" ht="12.95" customHeight="1">
      <c r="A1016" s="14"/>
      <c r="B1016" s="79"/>
      <c r="C1016" s="80" t="s">
        <v>218</v>
      </c>
      <c r="D1016" s="1737" t="s">
        <v>2232</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4" t="s">
        <v>668</v>
      </c>
      <c r="AH1016" s="1755"/>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3"/>
        <v>0</v>
      </c>
      <c r="AZ1016" s="1255">
        <v>0.02</v>
      </c>
    </row>
    <row r="1017" spans="1:52" ht="12.95" customHeight="1">
      <c r="A1017" s="14"/>
      <c r="B1017" s="73"/>
      <c r="C1017" s="74"/>
      <c r="D1017" s="1699" t="s">
        <v>1289</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8" t="str">
        <f>IF(AND(AG1016="Yes",AY1024=0),AY1027,"")</f>
        <v/>
      </c>
      <c r="AG1017" s="1849"/>
      <c r="AH1017" s="1849"/>
      <c r="AI1017" s="1850"/>
      <c r="AJ1017" s="1731"/>
      <c r="AK1017" s="1732"/>
      <c r="AL1017" s="1732"/>
      <c r="AM1017" s="1732"/>
      <c r="AN1017" s="1732"/>
      <c r="AO1017" s="1732"/>
      <c r="AP1017" s="1732"/>
      <c r="AQ1017" s="1733"/>
      <c r="AR1017" s="68"/>
      <c r="AS1017" s="68"/>
      <c r="AT1017" s="68"/>
      <c r="AU1017" s="68"/>
      <c r="AV1017" s="68"/>
      <c r="AW1017" s="68"/>
      <c r="AX1017" s="3">
        <v>5</v>
      </c>
      <c r="AY1017" s="200">
        <f t="shared" si="53"/>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8"/>
      <c r="AG1018" s="1849"/>
      <c r="AH1018" s="1849"/>
      <c r="AI1018" s="1850"/>
      <c r="AJ1018" s="1731"/>
      <c r="AK1018" s="1732"/>
      <c r="AL1018" s="1732"/>
      <c r="AM1018" s="1732"/>
      <c r="AN1018" s="1732"/>
      <c r="AO1018" s="1732"/>
      <c r="AP1018" s="1732"/>
      <c r="AQ1018" s="1733"/>
      <c r="AR1018" s="68"/>
      <c r="AS1018" s="68"/>
      <c r="AT1018" s="68"/>
      <c r="AU1018" s="68"/>
      <c r="AV1018" s="68"/>
      <c r="AW1018" s="68"/>
      <c r="AX1018" s="3">
        <v>6</v>
      </c>
      <c r="AY1018" s="200">
        <f t="shared" si="53"/>
        <v>0</v>
      </c>
      <c r="AZ1018" s="1255">
        <v>0.04</v>
      </c>
    </row>
    <row r="1019" spans="1:52" ht="12.95"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51"/>
      <c r="AG1019" s="1852"/>
      <c r="AH1019" s="1852"/>
      <c r="AI1019" s="1853"/>
      <c r="AJ1019" s="1734"/>
      <c r="AK1019" s="1735"/>
      <c r="AL1019" s="1735"/>
      <c r="AM1019" s="1735"/>
      <c r="AN1019" s="1735"/>
      <c r="AO1019" s="1735"/>
      <c r="AP1019" s="1735"/>
      <c r="AQ1019" s="1736"/>
      <c r="AR1019" s="68"/>
      <c r="AS1019" s="68"/>
      <c r="AT1019" s="68"/>
      <c r="AU1019" s="68"/>
      <c r="AV1019" s="68"/>
      <c r="AW1019" s="68"/>
      <c r="AX1019" s="3">
        <v>7</v>
      </c>
      <c r="AY1019" s="200">
        <f t="shared" si="53"/>
        <v>0</v>
      </c>
      <c r="AZ1019" s="1255">
        <v>0.01</v>
      </c>
    </row>
    <row r="1020" spans="1:52" ht="12.95" customHeight="1">
      <c r="A1020" s="14"/>
      <c r="B1020" s="79"/>
      <c r="C1020" s="80" t="s">
        <v>223</v>
      </c>
      <c r="D1020" s="1816" t="s">
        <v>1290</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668</v>
      </c>
      <c r="AH1020" s="1755"/>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3"/>
        <v>0</v>
      </c>
      <c r="AZ1020" s="1255">
        <v>0.01</v>
      </c>
    </row>
    <row r="1021" spans="1:52" ht="12.95"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3" t="str">
        <f>IF(AG1020="yes","Please Select Type and Enter Amount:","")</f>
        <v/>
      </c>
      <c r="AG1021" s="1834"/>
      <c r="AH1021" s="1834"/>
      <c r="AI1021" s="1835"/>
      <c r="AJ1021" s="1731"/>
      <c r="AK1021" s="1732"/>
      <c r="AL1021" s="1732"/>
      <c r="AM1021" s="1732"/>
      <c r="AN1021" s="1732"/>
      <c r="AO1021" s="1732"/>
      <c r="AP1021" s="1732"/>
      <c r="AQ1021" s="1733"/>
      <c r="AR1021" s="68"/>
      <c r="AS1021" s="68"/>
      <c r="AT1021" s="68"/>
      <c r="AU1021" s="68"/>
      <c r="AV1021" s="68"/>
      <c r="AW1021" s="68"/>
      <c r="AX1021" s="3">
        <v>9</v>
      </c>
      <c r="AY1021" s="200">
        <f t="shared" si="53"/>
        <v>0</v>
      </c>
      <c r="AZ1021" s="1255">
        <v>0.01</v>
      </c>
    </row>
    <row r="1022" spans="1:52" ht="12.95" customHeight="1">
      <c r="A1022" s="14"/>
      <c r="B1022" s="81"/>
      <c r="C1022" s="84"/>
      <c r="D1022" s="1699" t="s">
        <v>1291</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3"/>
      <c r="AG1022" s="1834"/>
      <c r="AH1022" s="1834"/>
      <c r="AI1022" s="1835"/>
      <c r="AJ1022" s="1731"/>
      <c r="AK1022" s="1732"/>
      <c r="AL1022" s="1732"/>
      <c r="AM1022" s="1732"/>
      <c r="AN1022" s="1732"/>
      <c r="AO1022" s="1732"/>
      <c r="AP1022" s="1732"/>
      <c r="AQ1022" s="1733"/>
      <c r="AR1022" s="68"/>
      <c r="AS1022" s="68"/>
      <c r="AT1022" s="68"/>
      <c r="AU1022" s="68"/>
      <c r="AV1022" s="68"/>
      <c r="AW1022" s="68"/>
      <c r="AX1022" s="3">
        <v>10</v>
      </c>
      <c r="AY1022" s="200">
        <f t="shared" si="53"/>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7"/>
      <c r="AG1023" s="1777"/>
      <c r="AH1023" s="1777"/>
      <c r="AI1023" s="1777"/>
      <c r="AJ1023" s="1731"/>
      <c r="AK1023" s="1732"/>
      <c r="AL1023" s="1732"/>
      <c r="AM1023" s="1732"/>
      <c r="AN1023" s="1732"/>
      <c r="AO1023" s="1732"/>
      <c r="AP1023" s="1732"/>
      <c r="AQ1023" s="1733"/>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5" t="s">
        <v>590</v>
      </c>
      <c r="K1024" s="1826"/>
      <c r="L1024" s="1826"/>
      <c r="M1024" s="1826"/>
      <c r="N1024" s="1826"/>
      <c r="O1024" s="1826"/>
      <c r="P1024" s="1826"/>
      <c r="Q1024" s="1826"/>
      <c r="R1024" s="1826"/>
      <c r="S1024" s="1826"/>
      <c r="T1024" s="1826"/>
      <c r="U1024" s="1826"/>
      <c r="V1024" s="1826"/>
      <c r="W1024" s="1826"/>
      <c r="X1024" s="1826"/>
      <c r="Y1024" s="1826"/>
      <c r="Z1024" s="1826"/>
      <c r="AA1024" s="1826"/>
      <c r="AB1024" s="1826"/>
      <c r="AC1024" s="1826"/>
      <c r="AD1024" s="1826"/>
      <c r="AE1024" s="1827"/>
      <c r="AF1024" s="1777"/>
      <c r="AG1024" s="1777"/>
      <c r="AH1024" s="1777"/>
      <c r="AI1024" s="1777"/>
      <c r="AJ1024" s="1734"/>
      <c r="AK1024" s="1735"/>
      <c r="AL1024" s="1735"/>
      <c r="AM1024" s="1735"/>
      <c r="AN1024" s="1735"/>
      <c r="AO1024" s="1735"/>
      <c r="AP1024" s="1735"/>
      <c r="AQ1024" s="1736"/>
      <c r="AR1024" s="68"/>
      <c r="AS1024" s="68"/>
      <c r="AT1024" s="68"/>
      <c r="AU1024" s="68"/>
      <c r="AV1024" s="68"/>
      <c r="AW1024" s="68"/>
      <c r="AX1024" s="1032" t="s">
        <v>2602</v>
      </c>
      <c r="AY1024" s="201">
        <f>IF(SUM(AY1013:AY1023)&lt;=0.2,SUM(AY1013:AY1023),0.2)</f>
        <v>0</v>
      </c>
    </row>
    <row r="1025" spans="1:57" ht="12.95" customHeight="1">
      <c r="A1025" s="14"/>
      <c r="B1025" s="79"/>
      <c r="C1025" s="80" t="s">
        <v>229</v>
      </c>
      <c r="D1025" s="1768" t="s">
        <v>1292</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668</v>
      </c>
      <c r="AH1025" s="1755"/>
      <c r="AI1025" s="87"/>
      <c r="AJ1025" s="1728">
        <f>ROUND(IF(AG1025="Yes",AF1027,0),0)</f>
        <v>0</v>
      </c>
      <c r="AK1025" s="1729"/>
      <c r="AL1025" s="1729"/>
      <c r="AM1025" s="1729"/>
      <c r="AN1025" s="1729"/>
      <c r="AO1025" s="1729"/>
      <c r="AP1025" s="1729"/>
      <c r="AQ1025" s="1730"/>
      <c r="AR1025" s="68"/>
      <c r="AS1025" s="68"/>
      <c r="AT1025" s="68"/>
      <c r="AU1025" s="68"/>
      <c r="AV1025" s="68"/>
      <c r="AW1025" s="68"/>
      <c r="AX1025" s="68"/>
      <c r="AY1025" s="68"/>
    </row>
    <row r="1026" spans="1:57" ht="12.95" customHeight="1">
      <c r="A1026" s="14"/>
      <c r="B1026" s="73"/>
      <c r="C1026" s="74"/>
      <c r="D1026" s="1699" t="s">
        <v>1688</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2" t="str">
        <f>IF(AG1025="yes","Enter Amount:","")</f>
        <v/>
      </c>
      <c r="AG1026" s="1823"/>
      <c r="AH1026" s="1823"/>
      <c r="AI1026" s="1824"/>
      <c r="AJ1026" s="1731"/>
      <c r="AK1026" s="1732"/>
      <c r="AL1026" s="1732"/>
      <c r="AM1026" s="1732"/>
      <c r="AN1026" s="1732"/>
      <c r="AO1026" s="1732"/>
      <c r="AP1026" s="1732"/>
      <c r="AQ1026" s="1733"/>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7"/>
      <c r="AG1027" s="1777"/>
      <c r="AH1027" s="1777"/>
      <c r="AI1027" s="1777"/>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4"/>
      <c r="AK1028" s="1735"/>
      <c r="AL1028" s="1735"/>
      <c r="AM1028" s="1735"/>
      <c r="AN1028" s="1735"/>
      <c r="AO1028" s="1735"/>
      <c r="AP1028" s="1735"/>
      <c r="AQ1028" s="1736"/>
      <c r="AR1028" s="68"/>
      <c r="AS1028" s="68"/>
      <c r="AT1028" s="68"/>
      <c r="AU1028" s="68"/>
      <c r="AV1028" s="68"/>
      <c r="AW1028" s="68"/>
      <c r="AX1028" s="68"/>
      <c r="AY1028" s="68"/>
    </row>
    <row r="1029" spans="1:57" ht="12.95" customHeight="1">
      <c r="A1029" s="14"/>
      <c r="B1029" s="79"/>
      <c r="C1029" s="80" t="s">
        <v>234</v>
      </c>
      <c r="D1029" s="1737" t="s">
        <v>1293</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4" t="s">
        <v>544</v>
      </c>
      <c r="AH1029" s="1755"/>
      <c r="AI1029" s="87"/>
      <c r="AJ1029" s="1728">
        <f>ROUND(IF(AG1029="yes",(AJ992*0.1),0),0)</f>
        <v>17325712</v>
      </c>
      <c r="AK1029" s="1729"/>
      <c r="AL1029" s="1729"/>
      <c r="AM1029" s="1729"/>
      <c r="AN1029" s="1729"/>
      <c r="AO1029" s="1729"/>
      <c r="AP1029" s="1729"/>
      <c r="AQ1029" s="1730"/>
      <c r="AR1029" s="68"/>
      <c r="AS1029" s="68"/>
      <c r="AT1029" s="68"/>
      <c r="AU1029" s="68"/>
      <c r="AV1029" s="68"/>
      <c r="AW1029" s="68"/>
      <c r="AX1029" s="68"/>
      <c r="AY1029" s="68"/>
    </row>
    <row r="1030" spans="1:57" ht="12.95" customHeight="1">
      <c r="A1030" s="14"/>
      <c r="B1030" s="73"/>
      <c r="C1030" s="74"/>
      <c r="D1030" s="1699" t="s">
        <v>1294</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2.95"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2.95" customHeight="1">
      <c r="A1032" s="14"/>
      <c r="B1032" s="73"/>
      <c r="C1032" s="339" t="s">
        <v>686</v>
      </c>
      <c r="D1032" s="1768" t="s">
        <v>1684</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668</v>
      </c>
      <c r="AH1032" s="1755"/>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2.95" customHeight="1">
      <c r="A1033" s="14"/>
      <c r="B1033" s="73"/>
      <c r="C1033" s="74"/>
      <c r="D1033" s="1805" t="s">
        <v>1685</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6"/>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2.95" customHeight="1">
      <c r="A1034" s="14"/>
      <c r="B1034" s="73"/>
      <c r="C1034" s="74"/>
      <c r="D1034" s="180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6"/>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2.95"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2.95" customHeight="1">
      <c r="A1036" s="14"/>
      <c r="B1036" s="73"/>
      <c r="C1036" s="339" t="s">
        <v>686</v>
      </c>
      <c r="D1036" s="1737" t="s">
        <v>1686</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6" t="s">
        <v>668</v>
      </c>
      <c r="AH1036" s="1757"/>
      <c r="AI1036" s="83"/>
      <c r="AJ1036" s="1728">
        <f>ROUND(IF(AND(AG1036="yes",AJ1032=0),(AJ992*0.1),0),0)</f>
        <v>0</v>
      </c>
      <c r="AK1036" s="1729"/>
      <c r="AL1036" s="1729"/>
      <c r="AM1036" s="1729"/>
      <c r="AN1036" s="1729"/>
      <c r="AO1036" s="1729"/>
      <c r="AP1036" s="1729"/>
      <c r="AQ1036" s="1730"/>
      <c r="AR1036" s="68"/>
      <c r="AS1036" s="68"/>
      <c r="AT1036" s="68"/>
      <c r="AU1036" s="68"/>
      <c r="AV1036" s="68"/>
      <c r="AW1036" s="68"/>
      <c r="AX1036" s="68"/>
      <c r="AY1036" s="68"/>
    </row>
    <row r="1037" spans="1:57" ht="12.95" customHeight="1">
      <c r="A1037" s="14"/>
      <c r="B1037" s="73"/>
      <c r="C1037" s="74"/>
      <c r="D1037" s="1805" t="s">
        <v>1687</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6"/>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2.95" customHeight="1">
      <c r="A1038" s="14"/>
      <c r="B1038" s="73"/>
      <c r="C1038" s="74"/>
      <c r="D1038" s="180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6"/>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IFERROR(('Sources and Uses Budget'!$C$17+'Sources and Uses Budget'!$C$18+'Sources and Uses Budget'!$C$22)/$AG$437,0)</f>
        <v>0</v>
      </c>
      <c r="BB1038" s="1183" t="s">
        <v>2485</v>
      </c>
      <c r="BC1038" s="1183"/>
      <c r="BD1038" s="1183"/>
      <c r="BE1038" s="1183"/>
    </row>
    <row r="1039" spans="1:57" ht="12.95" customHeight="1">
      <c r="A1039" s="14"/>
      <c r="B1039" s="73"/>
      <c r="C1039" s="74"/>
      <c r="D1039" s="180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6"/>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IFERROR((($CI$753+$CM$753)/$AG$440),0)</f>
        <v>0.2046783625730994</v>
      </c>
      <c r="BB1039" s="3" t="s">
        <v>2489</v>
      </c>
    </row>
    <row r="1040" spans="1:57" ht="12.95"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0</v>
      </c>
      <c r="BB1040" s="3" t="s">
        <v>2486</v>
      </c>
    </row>
    <row r="1041" spans="1:56" ht="12.95" customHeight="1">
      <c r="A1041" s="14"/>
      <c r="B1041" s="79"/>
      <c r="C1041" s="131" t="s">
        <v>1008</v>
      </c>
      <c r="D1041" s="1768" t="s">
        <v>1295</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668</v>
      </c>
      <c r="AH1041" s="1755"/>
      <c r="AI1041" s="87"/>
      <c r="AJ1041" s="1728">
        <f>ROUND(IF(AG1041="yes",(AJ992*0.1),0),0)</f>
        <v>0</v>
      </c>
      <c r="AK1041" s="1729"/>
      <c r="AL1041" s="1729"/>
      <c r="AM1041" s="1729"/>
      <c r="AN1041" s="1729"/>
      <c r="AO1041" s="1729"/>
      <c r="AP1041" s="1729"/>
      <c r="AQ1041" s="1730"/>
      <c r="AR1041" s="68"/>
      <c r="AS1041" s="68"/>
      <c r="AT1041" s="68"/>
      <c r="AU1041" s="68"/>
      <c r="AV1041" s="68"/>
      <c r="AW1041" s="68"/>
      <c r="AX1041" s="68"/>
      <c r="AY1041" s="68"/>
      <c r="BA1041">
        <f>Q212</f>
        <v>0</v>
      </c>
      <c r="BB1041" s="3" t="s">
        <v>2487</v>
      </c>
    </row>
    <row r="1042" spans="1:56" ht="12.95" customHeight="1">
      <c r="A1042" s="14"/>
      <c r="B1042" s="73"/>
      <c r="C1042" s="74"/>
      <c r="D1042" s="1699" t="s">
        <v>2141</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T212</f>
        <v>0</v>
      </c>
      <c r="BB1042" s="3" t="s">
        <v>2488</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2.95"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2.95" customHeight="1">
      <c r="A1045" s="14"/>
      <c r="B1045" s="79"/>
      <c r="C1045" s="131" t="s">
        <v>1682</v>
      </c>
      <c r="D1045" s="1737" t="s">
        <v>1862</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2" t="str">
        <f>IF(X1048&gt;0,"Yes","No")</f>
        <v>Yes</v>
      </c>
      <c r="AH1045" s="1753"/>
      <c r="AI1045" s="87"/>
      <c r="AJ1045" s="1728">
        <f>IF((X1048=0),0,AY1005*AJ992)</f>
        <v>17325711.600000001</v>
      </c>
      <c r="AK1045" s="1729"/>
      <c r="AL1045" s="1729"/>
      <c r="AM1045" s="1729"/>
      <c r="AN1045" s="1729"/>
      <c r="AO1045" s="1729"/>
      <c r="AP1045" s="1729"/>
      <c r="AQ1045" s="173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5" customHeight="1">
      <c r="A1046" s="14"/>
      <c r="B1046" s="73"/>
      <c r="C1046" s="442"/>
      <c r="D1046" s="1699" t="s">
        <v>1297</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'Sources and Uses Budget'!S97*BA1046</f>
        <v>13651104.299999999</v>
      </c>
      <c r="BA1046" s="1182">
        <f>IF(BA1040,20%,15%)</f>
        <v>0.15</v>
      </c>
      <c r="BB1046" s="3" t="s">
        <v>2475</v>
      </c>
      <c r="BC1046" s="3" t="s">
        <v>2476</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5" customHeight="1">
      <c r="A1048" s="14"/>
      <c r="B1048" s="77"/>
      <c r="C1048" s="78"/>
      <c r="D1048" s="132" t="s">
        <v>970</v>
      </c>
      <c r="E1048" s="133"/>
      <c r="F1048" s="133"/>
      <c r="G1048" s="133"/>
      <c r="H1048" s="133"/>
      <c r="I1048" s="1791">
        <f>AY1003</f>
        <v>342</v>
      </c>
      <c r="J1048" s="1792"/>
      <c r="K1048" s="7"/>
      <c r="L1048" s="133"/>
      <c r="M1048" s="133"/>
      <c r="N1048" s="133"/>
      <c r="O1048" s="133"/>
      <c r="P1048" s="133"/>
      <c r="Q1048" s="133"/>
      <c r="R1048" s="133"/>
      <c r="S1048" s="133"/>
      <c r="T1048" s="133"/>
      <c r="U1048" s="133"/>
      <c r="V1048" s="134" t="s">
        <v>971</v>
      </c>
      <c r="W1048" s="48"/>
      <c r="X1048" s="1789">
        <f>CI753</f>
        <v>35</v>
      </c>
      <c r="Y1048" s="1790"/>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2475</v>
      </c>
      <c r="BC1048" s="3" t="s">
        <v>2478</v>
      </c>
      <c r="BD1048" s="3"/>
    </row>
    <row r="1049" spans="1:56" ht="12.95" customHeight="1">
      <c r="A1049" s="14"/>
      <c r="B1049" s="79"/>
      <c r="C1049" s="131" t="s">
        <v>1683</v>
      </c>
      <c r="D1049" s="1768" t="s">
        <v>2167</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IF(X1052&gt;0,"Yes","No")</f>
        <v>Yes</v>
      </c>
      <c r="AH1049" s="1753"/>
      <c r="AI1049" s="83"/>
      <c r="AJ1049" s="1728">
        <f>IF((X1052=0),0,(2*AY1006)*AJ992)</f>
        <v>34651423.200000003</v>
      </c>
      <c r="AK1049" s="1729"/>
      <c r="AL1049" s="1729"/>
      <c r="AM1049" s="1729"/>
      <c r="AN1049" s="1729"/>
      <c r="AO1049" s="1729"/>
      <c r="AP1049" s="1729"/>
      <c r="AQ1049" s="1730"/>
      <c r="AR1049" s="68"/>
      <c r="AS1049" s="68"/>
      <c r="AT1049" s="68"/>
      <c r="AU1049" s="14"/>
      <c r="AV1049" s="68"/>
      <c r="AW1049" s="68"/>
      <c r="AX1049" s="68"/>
      <c r="AY1049" s="68"/>
      <c r="AZ1049" s="962">
        <f>AZ1045*BA1049</f>
        <v>0</v>
      </c>
      <c r="BA1049" s="1182">
        <v>0.15</v>
      </c>
      <c r="BB1049" s="3" t="s">
        <v>2475</v>
      </c>
      <c r="BC1049" s="3" t="s">
        <v>2479</v>
      </c>
      <c r="BD1049" s="3"/>
    </row>
    <row r="1050" spans="1:56" ht="12.95" customHeight="1">
      <c r="A1050" s="14"/>
      <c r="B1050" s="73"/>
      <c r="C1050" s="442"/>
      <c r="D1050" s="1699" t="s">
        <v>1296</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ROUNDDOWN(MIN(SUM(AZ1046,AZ1047,AZ1048,AZ1049),BD1051),0)</f>
        <v>2500000</v>
      </c>
      <c r="BA1051" s="3" t="s">
        <v>2480</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791">
        <f>AY1003</f>
        <v>342</v>
      </c>
      <c r="J1052" s="1792"/>
      <c r="K1052" s="14"/>
      <c r="L1052" s="133"/>
      <c r="M1052" s="133"/>
      <c r="N1052" s="133"/>
      <c r="O1052" s="133"/>
      <c r="P1052" s="133"/>
      <c r="Q1052" s="133"/>
      <c r="R1052" s="133"/>
      <c r="S1052" s="133"/>
      <c r="T1052" s="133"/>
      <c r="U1052" s="133"/>
      <c r="V1052" s="134" t="s">
        <v>972</v>
      </c>
      <c r="X1052" s="1789">
        <f>CM753</f>
        <v>35</v>
      </c>
      <c r="Y1052" s="1790"/>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ROUNDDOWN(MAX(0,BA1052*(SUM(AG1093,AL1093,AZ1045)-BD1052))+BF1052,0)</f>
        <v>0</v>
      </c>
      <c r="BA1052" s="1182">
        <f>IF(L1042,7%,5%)</f>
        <v>0.05</v>
      </c>
      <c r="BB1052" s="3" t="s">
        <v>2481</v>
      </c>
      <c r="BC1052" s="3"/>
      <c r="BD1052" s="3">
        <v>6666667</v>
      </c>
    </row>
    <row r="1053" spans="1:56" ht="12.95" customHeight="1">
      <c r="A1053" s="14"/>
      <c r="B1053" s="102"/>
      <c r="C1053" s="103"/>
      <c r="D1053" s="1787" t="s">
        <v>512</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SUM(AJ992:AQ1052)</f>
        <v>259885674.80000001</v>
      </c>
      <c r="AK1053" s="1803"/>
      <c r="AL1053" s="1803"/>
      <c r="AM1053" s="1803"/>
      <c r="AN1053" s="1803"/>
      <c r="AO1053" s="1803"/>
      <c r="AP1053" s="1803"/>
      <c r="AQ1053" s="1804"/>
      <c r="AR1053" s="68"/>
      <c r="AS1053" s="68"/>
      <c r="AT1053" s="68"/>
      <c r="AU1053" s="68"/>
      <c r="AV1053" s="68"/>
      <c r="AW1053" s="68"/>
      <c r="AX1053" s="68"/>
      <c r="AY1053" s="68"/>
      <c r="AZ1053" s="1181">
        <v>6000000</v>
      </c>
      <c r="BA1053" s="3" t="s">
        <v>2482</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2483</v>
      </c>
      <c r="BC1055" s="3"/>
      <c r="BD1055" s="3"/>
    </row>
    <row r="1056" spans="1:56" ht="12.9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104658466</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13651104.299999999</v>
      </c>
      <c r="BB1056" s="3" t="s">
        <v>2484</v>
      </c>
      <c r="BC1056" s="3"/>
      <c r="BD1056" s="3"/>
    </row>
    <row r="1057" spans="1:54" ht="12.9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0.44975238631371273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13651104</v>
      </c>
      <c r="BB1058" s="3" t="s">
        <v>2490</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11151104</v>
      </c>
      <c r="BB1059" s="3" t="s">
        <v>2491</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0" t="s">
        <v>793</v>
      </c>
      <c r="B1061" s="1840"/>
      <c r="C1061" s="1840"/>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c r="AL1061" s="1840"/>
      <c r="AM1061" s="1840"/>
      <c r="AN1061" s="1840"/>
      <c r="AO1061" s="1840"/>
      <c r="AP1061" s="1840"/>
      <c r="AQ1061" s="1840"/>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7" t="s">
        <v>590</v>
      </c>
      <c r="B1065" s="1417"/>
      <c r="C1065" s="1861">
        <v>1</v>
      </c>
      <c r="D1065" s="1861"/>
      <c r="E1065" s="14" t="s">
        <v>2233</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7" t="s">
        <v>590</v>
      </c>
      <c r="B1067" s="1417"/>
      <c r="C1067" s="1861">
        <v>2</v>
      </c>
      <c r="D1067" s="1861"/>
      <c r="E1067" s="1863" t="s">
        <v>2234</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7" t="s">
        <v>590</v>
      </c>
      <c r="B1070" s="1417"/>
      <c r="C1070" s="1407">
        <v>3</v>
      </c>
      <c r="D1070" s="1407"/>
      <c r="E1070" s="1328" t="s">
        <v>1078</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7"/>
      <c r="D1071" s="1407"/>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7"/>
      <c r="D1072" s="1407"/>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7"/>
      <c r="D1073" s="1407"/>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7" t="s">
        <v>590</v>
      </c>
      <c r="B1075" s="1417"/>
      <c r="C1075" s="1407">
        <v>4</v>
      </c>
      <c r="D1075" s="1407"/>
      <c r="E1075" s="1328" t="s">
        <v>1077</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7"/>
      <c r="D1076" s="1407"/>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7"/>
      <c r="D1077" s="1407"/>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7"/>
      <c r="D1078" s="1407"/>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7"/>
      <c r="D1079" s="1407"/>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7" t="s">
        <v>590</v>
      </c>
      <c r="B1081" s="1417"/>
      <c r="C1081" s="1407">
        <v>5</v>
      </c>
      <c r="D1081" s="1407"/>
      <c r="E1081" s="1328" t="s">
        <v>2238</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7"/>
      <c r="D1082" s="1407"/>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7"/>
      <c r="D1083" s="1407"/>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7" t="s">
        <v>590</v>
      </c>
      <c r="B1085" s="1417"/>
      <c r="C1085" s="1407">
        <v>6</v>
      </c>
      <c r="D1085" s="1407"/>
      <c r="E1085" s="1328" t="s">
        <v>2239</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7"/>
      <c r="D1087" s="1407"/>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7" t="s">
        <v>590</v>
      </c>
      <c r="B1089" s="1417"/>
      <c r="C1089" s="1407">
        <v>7</v>
      </c>
      <c r="D1089" s="1407"/>
      <c r="E1089" s="1328" t="s">
        <v>2135</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7"/>
      <c r="D1090" s="1407"/>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7"/>
      <c r="D1091" s="1407"/>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7" t="s">
        <v>590</v>
      </c>
      <c r="B1094" s="1417"/>
      <c r="C1094" s="1407">
        <v>8</v>
      </c>
      <c r="D1094" s="1407"/>
      <c r="E1094" s="1328" t="s">
        <v>1071</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7"/>
      <c r="D1095" s="1407"/>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7" t="s">
        <v>590</v>
      </c>
      <c r="B1097" s="1417"/>
      <c r="C1097" s="1861">
        <v>9</v>
      </c>
      <c r="D1097" s="1861"/>
      <c r="E1097" s="1328" t="s">
        <v>1073</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1"/>
      <c r="D1098" s="1861"/>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7" t="s">
        <v>590</v>
      </c>
      <c r="B1100" s="1417"/>
      <c r="C1100" s="1861">
        <v>10</v>
      </c>
      <c r="D1100" s="1861"/>
      <c r="E1100" s="1862" t="s">
        <v>2235</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7" t="s">
        <v>590</v>
      </c>
      <c r="B1103" s="1417"/>
      <c r="C1103" s="1861">
        <v>11</v>
      </c>
      <c r="D1103" s="1861"/>
      <c r="E1103" s="1862" t="s">
        <v>2237</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590</v>
      </c>
      <c r="B1125" s="1417"/>
      <c r="C1125" s="199">
        <v>9</v>
      </c>
      <c r="D1125" s="1260" t="s">
        <v>1072</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zoomScale="115" zoomScaleNormal="115" workbookViewId="0">
      <selection activeCell="E107" sqref="E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4)0</v>
      </c>
      <c r="J2" s="139" t="str">
        <f>Application!B631&amp;Application!C631</f>
        <v>5)0</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2220000</v>
      </c>
      <c r="C4" s="147">
        <f>'[1]Data Port'!$G$1254</f>
        <v>2220000</v>
      </c>
      <c r="D4" s="147"/>
      <c r="E4" s="147">
        <f>C4+D4-F4-G4-H4-I4-J4-K4</f>
        <v>2220000</v>
      </c>
      <c r="F4" s="147"/>
      <c r="G4" s="147"/>
      <c r="H4" s="147"/>
      <c r="I4" s="147"/>
      <c r="J4" s="147">
        <f>J108</f>
        <v>0</v>
      </c>
      <c r="K4" s="147"/>
      <c r="L4" s="147"/>
      <c r="M4" s="147"/>
      <c r="N4" s="147"/>
      <c r="O4" s="147"/>
      <c r="P4" s="147"/>
      <c r="Q4" s="147"/>
      <c r="R4" s="516">
        <f>SUM(E4:Q4)</f>
        <v>2220000</v>
      </c>
      <c r="S4" s="148"/>
      <c r="T4" s="148"/>
      <c r="U4" s="143"/>
    </row>
    <row r="5" spans="1:21" s="144" customFormat="1">
      <c r="A5" s="145" t="s">
        <v>28</v>
      </c>
      <c r="B5" s="146">
        <f>SUM(C5+D5)</f>
        <v>0</v>
      </c>
      <c r="C5" s="147">
        <f>'[1]Data Port'!$G$1255</f>
        <v>0</v>
      </c>
      <c r="D5" s="147"/>
      <c r="E5" s="147">
        <f t="shared" ref="E5:E7" si="0">C5+D5-F5-G5-H5-I5-J5-K5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53325</v>
      </c>
      <c r="C6" s="147">
        <f>'[1]Data Port'!$G$1256</f>
        <v>53325</v>
      </c>
      <c r="D6" s="147"/>
      <c r="E6" s="147">
        <f t="shared" si="0"/>
        <v>53325</v>
      </c>
      <c r="F6" s="147"/>
      <c r="G6" s="147"/>
      <c r="H6" s="147"/>
      <c r="I6" s="147"/>
      <c r="J6" s="147"/>
      <c r="K6" s="147"/>
      <c r="L6" s="147"/>
      <c r="M6" s="147"/>
      <c r="N6" s="147"/>
      <c r="O6" s="147"/>
      <c r="P6" s="147"/>
      <c r="Q6" s="147"/>
      <c r="R6" s="516">
        <f>SUM(E6:Q6)</f>
        <v>53325</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2273325</v>
      </c>
      <c r="C8" s="146">
        <f t="shared" ref="C8:Q8" si="1">SUM(C4:C7)</f>
        <v>2273325</v>
      </c>
      <c r="D8" s="146">
        <f t="shared" si="1"/>
        <v>0</v>
      </c>
      <c r="E8" s="146">
        <f t="shared" si="1"/>
        <v>2273325</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2273325</v>
      </c>
      <c r="S8" s="148"/>
      <c r="T8" s="148"/>
      <c r="U8" s="143"/>
    </row>
    <row r="9" spans="1:21" s="144" customFormat="1">
      <c r="A9" s="145" t="s">
        <v>593</v>
      </c>
      <c r="B9" s="146">
        <f>SUM(C9+D9)</f>
        <v>150000</v>
      </c>
      <c r="C9" s="147">
        <f>'[1]Data Port'!$G$1258</f>
        <v>150000</v>
      </c>
      <c r="D9" s="147"/>
      <c r="E9" s="147">
        <f t="shared" ref="E9:E10" si="2">C9+D9-F9-G9-H9-I9-J9-K9</f>
        <v>150000</v>
      </c>
      <c r="F9" s="147"/>
      <c r="G9" s="147"/>
      <c r="H9" s="147"/>
      <c r="I9" s="147"/>
      <c r="J9" s="147"/>
      <c r="K9" s="147"/>
      <c r="L9" s="147"/>
      <c r="M9" s="147"/>
      <c r="N9" s="147"/>
      <c r="O9" s="147"/>
      <c r="P9" s="147"/>
      <c r="Q9" s="147"/>
      <c r="R9" s="516">
        <f>SUM(E9:Q9)</f>
        <v>150000</v>
      </c>
      <c r="S9" s="148"/>
      <c r="T9" s="147"/>
      <c r="U9" s="143"/>
    </row>
    <row r="10" spans="1:21" s="144" customFormat="1">
      <c r="A10" s="145" t="s">
        <v>594</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595</v>
      </c>
      <c r="B11" s="146">
        <f>SUM(C11:D11)</f>
        <v>150000</v>
      </c>
      <c r="C11" s="146">
        <f t="shared" ref="C11:Q11" si="3">SUM(C9:C10)</f>
        <v>150000</v>
      </c>
      <c r="D11" s="146">
        <f t="shared" si="3"/>
        <v>0</v>
      </c>
      <c r="E11" s="146">
        <f t="shared" si="3"/>
        <v>150000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150000</v>
      </c>
      <c r="S11" s="148"/>
      <c r="T11" s="150">
        <f>SUM(T9:T10)</f>
        <v>0</v>
      </c>
      <c r="U11" s="143"/>
    </row>
    <row r="12" spans="1:21" s="144" customFormat="1">
      <c r="A12" s="149" t="s">
        <v>84</v>
      </c>
      <c r="B12" s="146">
        <f t="shared" ref="B12:Q12" si="4">SUM(B8+B11)</f>
        <v>2423325</v>
      </c>
      <c r="C12" s="146">
        <f t="shared" si="4"/>
        <v>2423325</v>
      </c>
      <c r="D12" s="146">
        <f t="shared" si="4"/>
        <v>0</v>
      </c>
      <c r="E12" s="146">
        <f t="shared" si="4"/>
        <v>2423325</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2423325</v>
      </c>
      <c r="S12" s="148"/>
      <c r="T12" s="148"/>
      <c r="U12" s="143"/>
    </row>
    <row r="13" spans="1:21" s="144" customFormat="1">
      <c r="A13" s="287" t="s">
        <v>901</v>
      </c>
      <c r="B13" s="146">
        <f>SUM(C13+D13)</f>
        <v>158400</v>
      </c>
      <c r="C13" s="147">
        <f>'[1]Data Port'!$G$1260</f>
        <v>158400</v>
      </c>
      <c r="D13" s="147"/>
      <c r="E13" s="147">
        <f t="shared" ref="E13:E15" si="5">C13+D13-F13-G13-H13-I13-J13-K13</f>
        <v>158400</v>
      </c>
      <c r="F13" s="147"/>
      <c r="G13" s="147"/>
      <c r="H13" s="147"/>
      <c r="I13" s="147"/>
      <c r="J13" s="147"/>
      <c r="K13" s="147"/>
      <c r="L13" s="147"/>
      <c r="M13" s="147"/>
      <c r="N13" s="147"/>
      <c r="O13" s="147"/>
      <c r="P13" s="147"/>
      <c r="Q13" s="147"/>
      <c r="R13" s="516">
        <f>SUM(E13:Q13)</f>
        <v>158400</v>
      </c>
      <c r="S13" s="147">
        <f t="shared" ref="S13:S14" si="6">C13</f>
        <v>158400</v>
      </c>
      <c r="T13" s="147"/>
      <c r="U13" s="143"/>
    </row>
    <row r="14" spans="1:21" s="144" customFormat="1" ht="24">
      <c r="A14" s="288" t="s">
        <v>1641</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si="6"/>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6">
        <f>SUM(E17:Q17)</f>
        <v>0</v>
      </c>
      <c r="S17" s="147">
        <f t="shared" ref="S17:S25" si="9">C17</f>
        <v>0</v>
      </c>
      <c r="T17" s="147"/>
      <c r="U17" s="143"/>
    </row>
    <row r="18" spans="1:21" s="144" customFormat="1">
      <c r="A18" s="145" t="s">
        <v>598</v>
      </c>
      <c r="B18" s="146">
        <f t="shared" si="7"/>
        <v>0</v>
      </c>
      <c r="C18" s="147"/>
      <c r="D18" s="147"/>
      <c r="E18" s="147">
        <f t="shared" si="8"/>
        <v>0</v>
      </c>
      <c r="F18" s="147"/>
      <c r="G18" s="147"/>
      <c r="H18" s="147"/>
      <c r="I18" s="147"/>
      <c r="J18" s="147"/>
      <c r="K18" s="147"/>
      <c r="L18" s="147"/>
      <c r="M18" s="147"/>
      <c r="N18" s="147"/>
      <c r="O18" s="147"/>
      <c r="P18" s="147"/>
      <c r="Q18" s="147"/>
      <c r="R18" s="516">
        <f>SUM(E18:Q18)</f>
        <v>0</v>
      </c>
      <c r="S18" s="147">
        <f t="shared" si="9"/>
        <v>0</v>
      </c>
      <c r="T18" s="147"/>
      <c r="U18" s="143"/>
    </row>
    <row r="19" spans="1:21" s="144" customFormat="1">
      <c r="A19" s="145" t="s">
        <v>599</v>
      </c>
      <c r="B19" s="146">
        <f t="shared" si="7"/>
        <v>0</v>
      </c>
      <c r="C19" s="147"/>
      <c r="D19" s="147"/>
      <c r="E19" s="147">
        <f t="shared" si="8"/>
        <v>0</v>
      </c>
      <c r="F19" s="147"/>
      <c r="G19" s="147"/>
      <c r="H19" s="147"/>
      <c r="I19" s="147"/>
      <c r="J19" s="147"/>
      <c r="K19" s="147"/>
      <c r="L19" s="147"/>
      <c r="M19" s="147"/>
      <c r="N19" s="147"/>
      <c r="O19" s="147"/>
      <c r="P19" s="147"/>
      <c r="Q19" s="147"/>
      <c r="R19" s="516">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6">
        <f t="shared" ref="R20:R27" si="10">SUM(E20:Q20)</f>
        <v>0</v>
      </c>
      <c r="S20" s="147">
        <f t="shared" si="9"/>
        <v>0</v>
      </c>
      <c r="T20" s="147"/>
      <c r="U20" s="143"/>
    </row>
    <row r="21" spans="1:21" s="144" customFormat="1">
      <c r="A21" s="145" t="s">
        <v>138</v>
      </c>
      <c r="B21" s="146">
        <f t="shared" si="7"/>
        <v>0</v>
      </c>
      <c r="C21" s="147"/>
      <c r="D21" s="147"/>
      <c r="E21" s="147">
        <f t="shared" si="8"/>
        <v>0</v>
      </c>
      <c r="F21" s="147"/>
      <c r="G21" s="147"/>
      <c r="H21" s="147"/>
      <c r="I21" s="147"/>
      <c r="J21" s="147"/>
      <c r="K21" s="147"/>
      <c r="L21" s="147"/>
      <c r="M21" s="147"/>
      <c r="N21" s="147"/>
      <c r="O21" s="147"/>
      <c r="P21" s="147"/>
      <c r="Q21" s="147"/>
      <c r="R21" s="516">
        <f t="shared" si="10"/>
        <v>0</v>
      </c>
      <c r="S21" s="147">
        <f t="shared" si="9"/>
        <v>0</v>
      </c>
      <c r="T21" s="147"/>
      <c r="U21" s="143"/>
    </row>
    <row r="22" spans="1:21" s="144" customFormat="1">
      <c r="A22" s="145" t="s">
        <v>139</v>
      </c>
      <c r="B22" s="146">
        <f t="shared" si="7"/>
        <v>0</v>
      </c>
      <c r="C22" s="147"/>
      <c r="D22" s="147"/>
      <c r="E22" s="147">
        <f t="shared" si="8"/>
        <v>0</v>
      </c>
      <c r="F22" s="147"/>
      <c r="G22" s="147"/>
      <c r="H22" s="147"/>
      <c r="I22" s="147"/>
      <c r="J22" s="147"/>
      <c r="K22" s="147"/>
      <c r="L22" s="147"/>
      <c r="M22" s="147"/>
      <c r="N22" s="147"/>
      <c r="O22" s="147"/>
      <c r="P22" s="147"/>
      <c r="Q22" s="147"/>
      <c r="R22" s="516">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6">
        <f>SUM(E23:Q23)</f>
        <v>0</v>
      </c>
      <c r="S23" s="147">
        <f t="shared" si="9"/>
        <v>0</v>
      </c>
      <c r="T23" s="147"/>
      <c r="U23" s="143"/>
    </row>
    <row r="24" spans="1:21" s="144" customFormat="1">
      <c r="A24" s="508" t="s">
        <v>1638</v>
      </c>
      <c r="B24" s="146">
        <f t="shared" si="7"/>
        <v>0</v>
      </c>
      <c r="C24" s="147"/>
      <c r="D24" s="147"/>
      <c r="E24" s="147">
        <f>C24+D24-F24-G24-H24-I24-J24-K24</f>
        <v>0</v>
      </c>
      <c r="F24" s="147"/>
      <c r="G24" s="147"/>
      <c r="H24" s="147"/>
      <c r="I24" s="147"/>
      <c r="J24" s="147"/>
      <c r="K24" s="147"/>
      <c r="L24" s="147"/>
      <c r="M24" s="147"/>
      <c r="N24" s="147"/>
      <c r="O24" s="147"/>
      <c r="P24" s="147"/>
      <c r="Q24" s="147"/>
      <c r="R24" s="516">
        <f t="shared" si="10"/>
        <v>0</v>
      </c>
      <c r="S24" s="147">
        <f t="shared" si="9"/>
        <v>0</v>
      </c>
      <c r="T24" s="147"/>
      <c r="U24" s="143"/>
    </row>
    <row r="25" spans="1:21" s="144" customFormat="1">
      <c r="A25" s="1149" t="s">
        <v>34</v>
      </c>
      <c r="B25" s="146">
        <f t="shared" si="7"/>
        <v>0</v>
      </c>
      <c r="C25" s="147"/>
      <c r="D25" s="147"/>
      <c r="E25" s="147">
        <f>C25+D25-F25-G25-H25-I25-J25-K25</f>
        <v>0</v>
      </c>
      <c r="F25" s="147"/>
      <c r="G25" s="147"/>
      <c r="H25" s="147"/>
      <c r="I25" s="147"/>
      <c r="J25" s="147"/>
      <c r="K25" s="147"/>
      <c r="L25" s="147"/>
      <c r="M25" s="147"/>
      <c r="N25" s="147"/>
      <c r="O25" s="147"/>
      <c r="P25" s="147"/>
      <c r="Q25" s="147"/>
      <c r="R25" s="516">
        <f t="shared" si="10"/>
        <v>0</v>
      </c>
      <c r="S25" s="147">
        <f t="shared" si="9"/>
        <v>0</v>
      </c>
      <c r="T25" s="147"/>
      <c r="U25" s="143"/>
    </row>
    <row r="26" spans="1:21" s="144" customFormat="1">
      <c r="A26" s="149" t="s">
        <v>133</v>
      </c>
      <c r="B26" s="146">
        <f t="shared" si="7"/>
        <v>0</v>
      </c>
      <c r="C26" s="146">
        <f>SUM(C17:C25)</f>
        <v>0</v>
      </c>
      <c r="D26" s="146">
        <f t="shared" ref="D26:Q26" si="11">SUM(D17:D25)</f>
        <v>0</v>
      </c>
      <c r="E26" s="146">
        <f>SUM(E17:E25)</f>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42">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6">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3">SUM(C29+D29)</f>
        <v>136641</v>
      </c>
      <c r="C29" s="147">
        <f>'[1]Data Port'!$G$1264</f>
        <v>136641</v>
      </c>
      <c r="D29" s="147"/>
      <c r="E29" s="147">
        <f t="shared" ref="E29:E37" si="14">C29+D29-F29-G29-H29-I29-J29-K29</f>
        <v>0</v>
      </c>
      <c r="F29" s="147">
        <f>C29+D29</f>
        <v>136641</v>
      </c>
      <c r="G29" s="147"/>
      <c r="H29" s="147"/>
      <c r="I29" s="147"/>
      <c r="J29" s="147"/>
      <c r="K29" s="147"/>
      <c r="L29" s="147"/>
      <c r="M29" s="147"/>
      <c r="N29" s="147"/>
      <c r="O29" s="147"/>
      <c r="P29" s="147"/>
      <c r="Q29" s="147"/>
      <c r="R29" s="516">
        <f t="shared" ref="R29:R37" si="15">SUM(E29:Q29)</f>
        <v>136641</v>
      </c>
      <c r="S29" s="147">
        <v>0</v>
      </c>
      <c r="T29" s="147"/>
      <c r="U29" s="143"/>
    </row>
    <row r="30" spans="1:21" s="144" customFormat="1">
      <c r="A30" s="145" t="s">
        <v>598</v>
      </c>
      <c r="B30" s="146">
        <f t="shared" si="13"/>
        <v>61718083</v>
      </c>
      <c r="C30" s="147">
        <f>'[1]Data Port'!$G$1265-D30</f>
        <v>61718083</v>
      </c>
      <c r="D30" s="147">
        <f>'[1]Data Port'!$D$1347</f>
        <v>0</v>
      </c>
      <c r="E30" s="147">
        <f t="shared" si="14"/>
        <v>4038348</v>
      </c>
      <c r="F30" s="147">
        <f>MIN(C30+D30-F29,Application!AO627-'Sources and Uses Budget'!F29)-G30-H30-I30-J30-K30</f>
        <v>57679735</v>
      </c>
      <c r="G30" s="147"/>
      <c r="H30" s="147"/>
      <c r="I30" s="147">
        <f>I108</f>
        <v>0</v>
      </c>
      <c r="J30" s="147"/>
      <c r="K30" s="147"/>
      <c r="L30" s="147"/>
      <c r="M30" s="147"/>
      <c r="N30" s="147"/>
      <c r="O30" s="147"/>
      <c r="P30" s="147"/>
      <c r="Q30" s="147"/>
      <c r="R30" s="516">
        <f t="shared" si="15"/>
        <v>61718083</v>
      </c>
      <c r="S30" s="147">
        <f t="shared" ref="S30:S37" si="16">C30</f>
        <v>61718083</v>
      </c>
      <c r="T30" s="147"/>
      <c r="U30" s="143"/>
    </row>
    <row r="31" spans="1:21" s="144" customFormat="1">
      <c r="A31" s="145" t="s">
        <v>599</v>
      </c>
      <c r="B31" s="146">
        <f t="shared" si="13"/>
        <v>2084991</v>
      </c>
      <c r="C31" s="147">
        <f>'[1]Data Port'!$G$1266</f>
        <v>2084991</v>
      </c>
      <c r="D31" s="147"/>
      <c r="E31" s="147">
        <f t="shared" si="14"/>
        <v>0</v>
      </c>
      <c r="F31" s="147">
        <f>B31</f>
        <v>2084991</v>
      </c>
      <c r="G31" s="147"/>
      <c r="H31" s="147"/>
      <c r="I31" s="147"/>
      <c r="J31" s="147"/>
      <c r="K31" s="147"/>
      <c r="L31" s="147"/>
      <c r="M31" s="147"/>
      <c r="N31" s="147"/>
      <c r="O31" s="147"/>
      <c r="P31" s="147"/>
      <c r="Q31" s="147"/>
      <c r="R31" s="516">
        <f t="shared" si="15"/>
        <v>2084991</v>
      </c>
      <c r="S31" s="147">
        <f t="shared" si="16"/>
        <v>2084991</v>
      </c>
      <c r="T31" s="147"/>
      <c r="U31" s="143"/>
    </row>
    <row r="32" spans="1:21" s="144" customFormat="1">
      <c r="A32" s="145" t="s">
        <v>137</v>
      </c>
      <c r="B32" s="146">
        <f t="shared" si="13"/>
        <v>2779988</v>
      </c>
      <c r="C32" s="147">
        <f>'[1]Data Port'!$G$1267</f>
        <v>2779988</v>
      </c>
      <c r="D32" s="147"/>
      <c r="E32" s="147">
        <f t="shared" si="14"/>
        <v>0</v>
      </c>
      <c r="F32" s="147">
        <f>C32</f>
        <v>2779988</v>
      </c>
      <c r="G32" s="147"/>
      <c r="H32" s="147"/>
      <c r="I32" s="147"/>
      <c r="J32" s="147"/>
      <c r="K32" s="147"/>
      <c r="L32" s="147"/>
      <c r="M32" s="147"/>
      <c r="N32" s="147"/>
      <c r="O32" s="147"/>
      <c r="P32" s="147"/>
      <c r="Q32" s="147"/>
      <c r="R32" s="516">
        <f t="shared" si="15"/>
        <v>2779988</v>
      </c>
      <c r="S32" s="147">
        <f t="shared" si="16"/>
        <v>2779988</v>
      </c>
      <c r="T32" s="147"/>
      <c r="U32" s="143"/>
    </row>
    <row r="33" spans="1:21" s="144" customFormat="1">
      <c r="A33" s="145" t="s">
        <v>138</v>
      </c>
      <c r="B33" s="146">
        <f t="shared" si="13"/>
        <v>2779988</v>
      </c>
      <c r="C33" s="147">
        <f>'[1]Data Port'!$G$1268</f>
        <v>2779988</v>
      </c>
      <c r="D33" s="147"/>
      <c r="E33" s="147">
        <f t="shared" si="14"/>
        <v>0</v>
      </c>
      <c r="F33" s="147">
        <f>C33</f>
        <v>2779988</v>
      </c>
      <c r="G33" s="147"/>
      <c r="H33" s="147"/>
      <c r="I33" s="147"/>
      <c r="J33" s="147"/>
      <c r="K33" s="147"/>
      <c r="L33" s="147"/>
      <c r="M33" s="147"/>
      <c r="N33" s="147"/>
      <c r="O33" s="147"/>
      <c r="P33" s="147"/>
      <c r="Q33" s="147"/>
      <c r="R33" s="516">
        <f t="shared" si="15"/>
        <v>2779988</v>
      </c>
      <c r="S33" s="147">
        <f t="shared" si="16"/>
        <v>2779988</v>
      </c>
      <c r="T33" s="147"/>
      <c r="U33" s="143"/>
    </row>
    <row r="34" spans="1:21" s="144" customFormat="1">
      <c r="A34" s="145" t="s">
        <v>139</v>
      </c>
      <c r="B34" s="146">
        <f t="shared" si="13"/>
        <v>0</v>
      </c>
      <c r="C34" s="147">
        <f>'[1]Data Port'!$G$1269</f>
        <v>0</v>
      </c>
      <c r="D34" s="147"/>
      <c r="E34" s="147">
        <f t="shared" si="14"/>
        <v>0</v>
      </c>
      <c r="F34" s="147">
        <f t="shared" ref="F34:F37" si="17">C34</f>
        <v>0</v>
      </c>
      <c r="G34" s="147"/>
      <c r="H34" s="147"/>
      <c r="I34" s="147"/>
      <c r="J34" s="147"/>
      <c r="K34" s="147"/>
      <c r="L34" s="147"/>
      <c r="M34" s="147"/>
      <c r="N34" s="147"/>
      <c r="O34" s="147"/>
      <c r="P34" s="147"/>
      <c r="Q34" s="147"/>
      <c r="R34" s="516">
        <f t="shared" si="15"/>
        <v>0</v>
      </c>
      <c r="S34" s="147">
        <f t="shared" si="16"/>
        <v>0</v>
      </c>
      <c r="T34" s="147"/>
      <c r="U34" s="143"/>
    </row>
    <row r="35" spans="1:21" s="144" customFormat="1">
      <c r="A35" s="145" t="s">
        <v>140</v>
      </c>
      <c r="B35" s="146">
        <f t="shared" si="13"/>
        <v>0</v>
      </c>
      <c r="C35" s="147">
        <f>'[1]Data Port'!$G$1270</f>
        <v>0</v>
      </c>
      <c r="D35" s="147"/>
      <c r="E35" s="147">
        <f t="shared" si="14"/>
        <v>0</v>
      </c>
      <c r="F35" s="147">
        <f t="shared" si="17"/>
        <v>0</v>
      </c>
      <c r="G35" s="147"/>
      <c r="H35" s="147"/>
      <c r="I35" s="147"/>
      <c r="J35" s="147"/>
      <c r="K35" s="147"/>
      <c r="L35" s="147"/>
      <c r="M35" s="147"/>
      <c r="N35" s="147"/>
      <c r="O35" s="147"/>
      <c r="P35" s="147"/>
      <c r="Q35" s="147"/>
      <c r="R35" s="516">
        <f t="shared" si="15"/>
        <v>0</v>
      </c>
      <c r="S35" s="147">
        <f t="shared" si="16"/>
        <v>0</v>
      </c>
      <c r="T35" s="147"/>
      <c r="U35" s="143"/>
    </row>
    <row r="36" spans="1:21" s="144" customFormat="1">
      <c r="A36" s="283" t="s">
        <v>1638</v>
      </c>
      <c r="B36" s="146">
        <f t="shared" si="13"/>
        <v>494000</v>
      </c>
      <c r="C36" s="147">
        <f>'[1]Data Port'!$G$1271</f>
        <v>494000</v>
      </c>
      <c r="D36" s="147"/>
      <c r="E36" s="147">
        <f t="shared" si="14"/>
        <v>0</v>
      </c>
      <c r="F36" s="147">
        <f t="shared" si="17"/>
        <v>494000</v>
      </c>
      <c r="G36" s="147"/>
      <c r="H36" s="147"/>
      <c r="I36" s="147"/>
      <c r="J36" s="147"/>
      <c r="K36" s="147"/>
      <c r="L36" s="147"/>
      <c r="M36" s="147"/>
      <c r="N36" s="147"/>
      <c r="O36" s="147"/>
      <c r="P36" s="147"/>
      <c r="Q36" s="147"/>
      <c r="R36" s="516">
        <f t="shared" si="15"/>
        <v>494000</v>
      </c>
      <c r="S36" s="147">
        <f t="shared" si="16"/>
        <v>494000</v>
      </c>
      <c r="T36" s="147"/>
      <c r="U36" s="143"/>
    </row>
    <row r="37" spans="1:21" s="144" customFormat="1">
      <c r="A37" s="1149" t="str">
        <f>'[1]Data Port'!$B$1272</f>
        <v>Contractor Contigency</v>
      </c>
      <c r="B37" s="146">
        <f t="shared" si="13"/>
        <v>2430739</v>
      </c>
      <c r="C37" s="147">
        <f>'[1]Data Port'!$G$1272</f>
        <v>2430739</v>
      </c>
      <c r="D37" s="147"/>
      <c r="E37" s="147">
        <f t="shared" si="14"/>
        <v>0</v>
      </c>
      <c r="F37" s="147">
        <f t="shared" si="17"/>
        <v>2430739</v>
      </c>
      <c r="G37" s="147"/>
      <c r="H37" s="147"/>
      <c r="I37" s="147"/>
      <c r="J37" s="147"/>
      <c r="K37" s="147"/>
      <c r="L37" s="147"/>
      <c r="M37" s="147"/>
      <c r="N37" s="147"/>
      <c r="O37" s="147"/>
      <c r="P37" s="147"/>
      <c r="Q37" s="147"/>
      <c r="R37" s="516">
        <f t="shared" si="15"/>
        <v>2430739</v>
      </c>
      <c r="S37" s="147">
        <f t="shared" si="16"/>
        <v>2430739</v>
      </c>
      <c r="T37" s="147"/>
      <c r="U37" s="143"/>
    </row>
    <row r="38" spans="1:21" s="144" customFormat="1">
      <c r="A38" s="149" t="s">
        <v>143</v>
      </c>
      <c r="B38" s="146">
        <f t="shared" si="13"/>
        <v>72424430</v>
      </c>
      <c r="C38" s="146">
        <f>SUM(C29:C37)</f>
        <v>72424430</v>
      </c>
      <c r="D38" s="146">
        <f t="shared" ref="D38:Q38" si="18">SUM(D29:D37)</f>
        <v>0</v>
      </c>
      <c r="E38" s="146">
        <f t="shared" si="18"/>
        <v>4038348</v>
      </c>
      <c r="F38" s="146">
        <f t="shared" si="18"/>
        <v>68386082</v>
      </c>
      <c r="G38" s="146">
        <f t="shared" si="18"/>
        <v>0</v>
      </c>
      <c r="H38" s="146">
        <f t="shared" si="18"/>
        <v>0</v>
      </c>
      <c r="I38" s="146">
        <f t="shared" si="18"/>
        <v>0</v>
      </c>
      <c r="J38" s="146">
        <f t="shared" si="18"/>
        <v>0</v>
      </c>
      <c r="K38" s="146">
        <f t="shared" si="18"/>
        <v>0</v>
      </c>
      <c r="L38" s="146">
        <f t="shared" si="18"/>
        <v>0</v>
      </c>
      <c r="M38" s="146">
        <f t="shared" si="18"/>
        <v>0</v>
      </c>
      <c r="N38" s="146">
        <f t="shared" si="18"/>
        <v>0</v>
      </c>
      <c r="O38" s="146">
        <f t="shared" si="18"/>
        <v>0</v>
      </c>
      <c r="P38" s="146">
        <f t="shared" si="18"/>
        <v>0</v>
      </c>
      <c r="Q38" s="146">
        <f t="shared" si="18"/>
        <v>0</v>
      </c>
      <c r="R38" s="342">
        <f>SUM(R29:R37)</f>
        <v>72424430</v>
      </c>
      <c r="S38" s="150">
        <f>SUM(S29:S37)</f>
        <v>72287789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f>'[1]Data Port'!$G$1274</f>
        <v>450000</v>
      </c>
      <c r="D40" s="147"/>
      <c r="E40" s="147">
        <f t="shared" ref="E40:E41" si="19">C40+D40-F40-G40-H40-I40-J40-K40</f>
        <v>11019706</v>
      </c>
      <c r="F40" s="147">
        <f>F108-F38</f>
        <v>-10569706</v>
      </c>
      <c r="G40" s="147"/>
      <c r="H40" s="147"/>
      <c r="I40" s="147"/>
      <c r="J40" s="147"/>
      <c r="K40" s="147"/>
      <c r="L40" s="147"/>
      <c r="M40" s="147"/>
      <c r="N40" s="147"/>
      <c r="O40" s="147"/>
      <c r="P40" s="147"/>
      <c r="Q40" s="147"/>
      <c r="R40" s="516">
        <f>SUM(E40:Q40)</f>
        <v>450000</v>
      </c>
      <c r="S40" s="147">
        <f t="shared" ref="S40:S41" si="20">C40</f>
        <v>450000</v>
      </c>
      <c r="T40" s="147"/>
      <c r="U40" s="143"/>
    </row>
    <row r="41" spans="1:21" s="144" customFormat="1">
      <c r="A41" s="145" t="s">
        <v>146</v>
      </c>
      <c r="B41" s="146">
        <f>SUM(C41+D41)</f>
        <v>300000</v>
      </c>
      <c r="C41" s="147">
        <f>'[1]Data Port'!$G$1275</f>
        <v>300000</v>
      </c>
      <c r="D41" s="147"/>
      <c r="E41" s="147">
        <f t="shared" si="19"/>
        <v>300000</v>
      </c>
      <c r="F41" s="147"/>
      <c r="G41" s="147"/>
      <c r="H41" s="147"/>
      <c r="I41" s="147"/>
      <c r="J41" s="147"/>
      <c r="K41" s="147"/>
      <c r="L41" s="147"/>
      <c r="M41" s="147"/>
      <c r="N41" s="147"/>
      <c r="O41" s="147"/>
      <c r="P41" s="147"/>
      <c r="Q41" s="147"/>
      <c r="R41" s="516">
        <f>SUM(E41:Q41)</f>
        <v>300000</v>
      </c>
      <c r="S41" s="147">
        <f t="shared" si="20"/>
        <v>300000</v>
      </c>
      <c r="T41" s="147"/>
      <c r="U41" s="143"/>
    </row>
    <row r="42" spans="1:21" s="144" customFormat="1">
      <c r="A42" s="149" t="s">
        <v>147</v>
      </c>
      <c r="B42" s="146">
        <f>SUM(C42:D42)</f>
        <v>750000</v>
      </c>
      <c r="C42" s="146">
        <f>SUM(C39:C41)</f>
        <v>750000</v>
      </c>
      <c r="D42" s="146">
        <f>SUM(D39:D41)</f>
        <v>0</v>
      </c>
      <c r="E42" s="146">
        <f t="shared" ref="E42:T42" si="21">SUM(E40:E41)</f>
        <v>11319706</v>
      </c>
      <c r="F42" s="146">
        <f t="shared" si="21"/>
        <v>-10569706</v>
      </c>
      <c r="G42" s="146">
        <f t="shared" si="21"/>
        <v>0</v>
      </c>
      <c r="H42" s="146">
        <f t="shared" si="21"/>
        <v>0</v>
      </c>
      <c r="I42" s="146">
        <f t="shared" si="21"/>
        <v>0</v>
      </c>
      <c r="J42" s="146">
        <f t="shared" si="21"/>
        <v>0</v>
      </c>
      <c r="K42" s="146">
        <f t="shared" si="21"/>
        <v>0</v>
      </c>
      <c r="L42" s="146">
        <f t="shared" si="21"/>
        <v>0</v>
      </c>
      <c r="M42" s="146">
        <f t="shared" si="21"/>
        <v>0</v>
      </c>
      <c r="N42" s="146">
        <f t="shared" si="21"/>
        <v>0</v>
      </c>
      <c r="O42" s="146">
        <f t="shared" si="21"/>
        <v>0</v>
      </c>
      <c r="P42" s="146">
        <f t="shared" si="21"/>
        <v>0</v>
      </c>
      <c r="Q42" s="146">
        <f t="shared" si="21"/>
        <v>0</v>
      </c>
      <c r="R42" s="342">
        <f>SUM(R40:R41)</f>
        <v>750000</v>
      </c>
      <c r="S42" s="150">
        <f t="shared" si="21"/>
        <v>750000</v>
      </c>
      <c r="T42" s="150">
        <f t="shared" si="21"/>
        <v>0</v>
      </c>
      <c r="U42" s="143"/>
    </row>
    <row r="43" spans="1:21" s="144" customFormat="1">
      <c r="A43" s="149" t="s">
        <v>148</v>
      </c>
      <c r="B43" s="146">
        <f>SUM(C43:D43)</f>
        <v>1000000</v>
      </c>
      <c r="C43" s="147">
        <f>'[1]Data Port'!$G$1276</f>
        <v>1000000</v>
      </c>
      <c r="D43" s="147"/>
      <c r="E43" s="147">
        <f>C43+D43-F43-G43-H43-I43-J43-K43</f>
        <v>1000000</v>
      </c>
      <c r="F43" s="147"/>
      <c r="G43" s="147"/>
      <c r="H43" s="147"/>
      <c r="I43" s="147"/>
      <c r="J43" s="147"/>
      <c r="K43" s="147"/>
      <c r="L43" s="147"/>
      <c r="M43" s="147"/>
      <c r="N43" s="147"/>
      <c r="O43" s="147"/>
      <c r="P43" s="147"/>
      <c r="Q43" s="147"/>
      <c r="R43" s="516">
        <f>SUM(E43:Q43)</f>
        <v>1000000</v>
      </c>
      <c r="S43" s="147">
        <f t="shared" ref="S43" si="22">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3">SUM(C45+D45)</f>
        <v>6556864</v>
      </c>
      <c r="C45" s="147">
        <f>'[1]Data Port'!$G$1278</f>
        <v>6556864</v>
      </c>
      <c r="D45" s="147"/>
      <c r="E45" s="147">
        <f t="shared" ref="E45:E53" si="24">C45+D45-F45-G45-H45-I45-J45-K45</f>
        <v>6556864</v>
      </c>
      <c r="F45" s="147"/>
      <c r="G45" s="147"/>
      <c r="H45" s="147"/>
      <c r="I45" s="147"/>
      <c r="J45" s="147"/>
      <c r="K45" s="147"/>
      <c r="L45" s="147"/>
      <c r="M45" s="147"/>
      <c r="N45" s="147"/>
      <c r="O45" s="147"/>
      <c r="P45" s="147"/>
      <c r="Q45" s="147"/>
      <c r="R45" s="516">
        <f t="shared" ref="R45:R53" si="25">SUM(E45:Q45)</f>
        <v>6556864</v>
      </c>
      <c r="S45" s="147">
        <f>ROUND('[1]Data Port'!$G$1279,)</f>
        <v>3931900</v>
      </c>
      <c r="T45" s="147"/>
      <c r="U45" s="143"/>
    </row>
    <row r="46" spans="1:21" s="144" customFormat="1">
      <c r="A46" s="145" t="s">
        <v>151</v>
      </c>
      <c r="B46" s="146">
        <f t="shared" si="23"/>
        <v>748060</v>
      </c>
      <c r="C46" s="147">
        <f>'[1]Data Port'!$G$1282</f>
        <v>748060</v>
      </c>
      <c r="D46" s="147"/>
      <c r="E46" s="147">
        <f t="shared" si="24"/>
        <v>748060</v>
      </c>
      <c r="F46" s="147"/>
      <c r="G46" s="147"/>
      <c r="H46" s="147"/>
      <c r="I46" s="147"/>
      <c r="J46" s="147"/>
      <c r="K46" s="147"/>
      <c r="L46" s="147"/>
      <c r="M46" s="147"/>
      <c r="N46" s="147"/>
      <c r="O46" s="147"/>
      <c r="P46" s="147"/>
      <c r="Q46" s="147"/>
      <c r="R46" s="516">
        <f t="shared" si="25"/>
        <v>748060</v>
      </c>
      <c r="S46" s="147">
        <f t="shared" ref="S46:S53" si="26">C46</f>
        <v>748060</v>
      </c>
      <c r="T46" s="147"/>
      <c r="U46" s="143"/>
    </row>
    <row r="47" spans="1:21" s="144" customFormat="1">
      <c r="A47" s="186" t="s">
        <v>152</v>
      </c>
      <c r="B47" s="146">
        <f t="shared" si="23"/>
        <v>7500</v>
      </c>
      <c r="C47" s="147">
        <f>'[1]Data Port'!$G$1283</f>
        <v>7500</v>
      </c>
      <c r="D47" s="147"/>
      <c r="E47" s="147">
        <f t="shared" si="24"/>
        <v>7500</v>
      </c>
      <c r="F47" s="147"/>
      <c r="G47" s="147"/>
      <c r="H47" s="147"/>
      <c r="I47" s="147"/>
      <c r="J47" s="147"/>
      <c r="K47" s="147"/>
      <c r="L47" s="147"/>
      <c r="M47" s="147"/>
      <c r="N47" s="147"/>
      <c r="O47" s="147"/>
      <c r="P47" s="147"/>
      <c r="Q47" s="147"/>
      <c r="R47" s="516">
        <f t="shared" si="25"/>
        <v>7500</v>
      </c>
      <c r="S47" s="147">
        <f t="shared" si="26"/>
        <v>7500</v>
      </c>
      <c r="T47" s="147"/>
      <c r="U47" s="143"/>
    </row>
    <row r="48" spans="1:21" s="144" customFormat="1">
      <c r="A48" s="145" t="s">
        <v>153</v>
      </c>
      <c r="B48" s="146">
        <f t="shared" si="23"/>
        <v>1078956</v>
      </c>
      <c r="C48" s="147">
        <f>'[1]Data Port'!$G$1284</f>
        <v>1078956</v>
      </c>
      <c r="D48" s="147"/>
      <c r="E48" s="147">
        <f t="shared" si="24"/>
        <v>1078956</v>
      </c>
      <c r="F48" s="147"/>
      <c r="G48" s="147"/>
      <c r="H48" s="147"/>
      <c r="I48" s="147"/>
      <c r="J48" s="147"/>
      <c r="K48" s="147"/>
      <c r="L48" s="147"/>
      <c r="M48" s="147"/>
      <c r="N48" s="147"/>
      <c r="O48" s="147"/>
      <c r="P48" s="147"/>
      <c r="Q48" s="147"/>
      <c r="R48" s="516">
        <f t="shared" si="25"/>
        <v>1078956</v>
      </c>
      <c r="S48" s="147">
        <f t="shared" si="26"/>
        <v>1078956</v>
      </c>
      <c r="T48" s="147"/>
      <c r="U48" s="143"/>
    </row>
    <row r="49" spans="1:21" s="144" customFormat="1">
      <c r="A49" s="145" t="s">
        <v>57</v>
      </c>
      <c r="B49" s="146">
        <f t="shared" si="23"/>
        <v>57250</v>
      </c>
      <c r="C49" s="147">
        <f>'[1]Data Port'!$G$1285</f>
        <v>57250</v>
      </c>
      <c r="D49" s="147"/>
      <c r="E49" s="147">
        <f t="shared" si="24"/>
        <v>57250</v>
      </c>
      <c r="F49" s="147"/>
      <c r="G49" s="147"/>
      <c r="H49" s="147"/>
      <c r="I49" s="147"/>
      <c r="J49" s="147"/>
      <c r="K49" s="147"/>
      <c r="L49" s="147"/>
      <c r="M49" s="147"/>
      <c r="N49" s="147"/>
      <c r="O49" s="147"/>
      <c r="P49" s="147"/>
      <c r="Q49" s="147"/>
      <c r="R49" s="516">
        <f t="shared" si="25"/>
        <v>57250</v>
      </c>
      <c r="S49" s="147">
        <f t="shared" si="26"/>
        <v>57250</v>
      </c>
      <c r="T49" s="147"/>
      <c r="U49" s="143"/>
    </row>
    <row r="50" spans="1:21" s="144" customFormat="1">
      <c r="A50" s="145" t="s">
        <v>156</v>
      </c>
      <c r="B50" s="146">
        <f t="shared" si="23"/>
        <v>25000</v>
      </c>
      <c r="C50" s="147">
        <f>'[1]Data Port'!$G$1286</f>
        <v>25000</v>
      </c>
      <c r="D50" s="147"/>
      <c r="E50" s="147">
        <f t="shared" si="24"/>
        <v>25000</v>
      </c>
      <c r="F50" s="147"/>
      <c r="G50" s="147"/>
      <c r="H50" s="147"/>
      <c r="I50" s="147"/>
      <c r="J50" s="147"/>
      <c r="K50" s="147"/>
      <c r="L50" s="147"/>
      <c r="M50" s="147"/>
      <c r="N50" s="147"/>
      <c r="O50" s="147"/>
      <c r="P50" s="147"/>
      <c r="Q50" s="147"/>
      <c r="R50" s="516">
        <f t="shared" si="25"/>
        <v>25000</v>
      </c>
      <c r="S50" s="147">
        <f t="shared" si="26"/>
        <v>25000</v>
      </c>
      <c r="T50" s="147"/>
      <c r="U50" s="143"/>
    </row>
    <row r="51" spans="1:21" s="144" customFormat="1">
      <c r="A51" s="283" t="s">
        <v>154</v>
      </c>
      <c r="B51" s="146">
        <f t="shared" si="23"/>
        <v>344321</v>
      </c>
      <c r="C51" s="147">
        <f>'[1]Data Port'!$G$1287</f>
        <v>344321</v>
      </c>
      <c r="D51" s="147"/>
      <c r="E51" s="147">
        <f t="shared" si="24"/>
        <v>344321</v>
      </c>
      <c r="F51" s="147"/>
      <c r="G51" s="147"/>
      <c r="H51" s="147"/>
      <c r="I51" s="147"/>
      <c r="J51" s="147"/>
      <c r="K51" s="147"/>
      <c r="L51" s="147"/>
      <c r="M51" s="147"/>
      <c r="N51" s="147"/>
      <c r="O51" s="147"/>
      <c r="P51" s="147"/>
      <c r="Q51" s="147"/>
      <c r="R51" s="516">
        <f t="shared" si="25"/>
        <v>344321</v>
      </c>
      <c r="S51" s="147">
        <f t="shared" si="26"/>
        <v>344321</v>
      </c>
      <c r="T51" s="147"/>
      <c r="U51" s="143"/>
    </row>
    <row r="52" spans="1:21" s="144" customFormat="1">
      <c r="A52" s="145" t="s">
        <v>155</v>
      </c>
      <c r="B52" s="146">
        <f t="shared" si="23"/>
        <v>851309</v>
      </c>
      <c r="C52" s="147">
        <f>'[1]Data Port'!$G$1288</f>
        <v>851309</v>
      </c>
      <c r="D52" s="147"/>
      <c r="E52" s="147">
        <f t="shared" si="24"/>
        <v>851309</v>
      </c>
      <c r="F52" s="147"/>
      <c r="G52" s="147"/>
      <c r="H52" s="147"/>
      <c r="I52" s="147"/>
      <c r="J52" s="147"/>
      <c r="K52" s="147"/>
      <c r="L52" s="147"/>
      <c r="M52" s="147"/>
      <c r="N52" s="147"/>
      <c r="O52" s="147"/>
      <c r="P52" s="147"/>
      <c r="Q52" s="147"/>
      <c r="R52" s="516">
        <f t="shared" si="25"/>
        <v>851309</v>
      </c>
      <c r="S52" s="147">
        <f t="shared" si="26"/>
        <v>851309</v>
      </c>
      <c r="T52" s="147"/>
      <c r="U52" s="143"/>
    </row>
    <row r="53" spans="1:21" s="144" customFormat="1">
      <c r="A53" s="1149" t="str">
        <f>'[1]Data Port'!$B$1289</f>
        <v>Lender Inspections</v>
      </c>
      <c r="B53" s="146">
        <f t="shared" si="23"/>
        <v>30000</v>
      </c>
      <c r="C53" s="147">
        <f>'[1]Data Port'!$G$1289</f>
        <v>30000</v>
      </c>
      <c r="D53" s="147"/>
      <c r="E53" s="147">
        <f t="shared" si="24"/>
        <v>30000</v>
      </c>
      <c r="F53" s="147"/>
      <c r="G53" s="147"/>
      <c r="H53" s="147"/>
      <c r="I53" s="147"/>
      <c r="J53" s="147"/>
      <c r="K53" s="147"/>
      <c r="L53" s="147"/>
      <c r="M53" s="147"/>
      <c r="N53" s="147"/>
      <c r="O53" s="147"/>
      <c r="P53" s="147"/>
      <c r="Q53" s="147"/>
      <c r="R53" s="516">
        <f t="shared" si="25"/>
        <v>30000</v>
      </c>
      <c r="S53" s="147">
        <f t="shared" si="26"/>
        <v>30000</v>
      </c>
      <c r="T53" s="147"/>
      <c r="U53" s="143"/>
    </row>
    <row r="54" spans="1:21" s="153" customFormat="1">
      <c r="A54" s="149" t="s">
        <v>157</v>
      </c>
      <c r="B54" s="150">
        <f>SUM(C54:D54)</f>
        <v>9699260</v>
      </c>
      <c r="C54" s="150">
        <f t="shared" ref="C54:T54" si="27">SUM(C45:C53)</f>
        <v>9699260</v>
      </c>
      <c r="D54" s="150">
        <f t="shared" si="27"/>
        <v>0</v>
      </c>
      <c r="E54" s="150">
        <f t="shared" si="27"/>
        <v>9699260</v>
      </c>
      <c r="F54" s="150">
        <f t="shared" si="27"/>
        <v>0</v>
      </c>
      <c r="G54" s="150">
        <f t="shared" si="27"/>
        <v>0</v>
      </c>
      <c r="H54" s="150">
        <f t="shared" si="27"/>
        <v>0</v>
      </c>
      <c r="I54" s="150">
        <f t="shared" si="27"/>
        <v>0</v>
      </c>
      <c r="J54" s="150">
        <f t="shared" si="27"/>
        <v>0</v>
      </c>
      <c r="K54" s="150">
        <f t="shared" si="27"/>
        <v>0</v>
      </c>
      <c r="L54" s="150">
        <f t="shared" si="27"/>
        <v>0</v>
      </c>
      <c r="M54" s="150">
        <f t="shared" si="27"/>
        <v>0</v>
      </c>
      <c r="N54" s="150">
        <f t="shared" si="27"/>
        <v>0</v>
      </c>
      <c r="O54" s="150">
        <f t="shared" si="27"/>
        <v>0</v>
      </c>
      <c r="P54" s="150">
        <f t="shared" si="27"/>
        <v>0</v>
      </c>
      <c r="Q54" s="150">
        <f t="shared" si="27"/>
        <v>0</v>
      </c>
      <c r="R54" s="342">
        <f t="shared" si="27"/>
        <v>9699260</v>
      </c>
      <c r="S54" s="150">
        <f t="shared" si="27"/>
        <v>7074296</v>
      </c>
      <c r="T54" s="150">
        <f t="shared" si="2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8">SUM(C56+D56)</f>
        <v>578164</v>
      </c>
      <c r="C56" s="147">
        <f>'[1]Data Port'!$G$1291</f>
        <v>578164</v>
      </c>
      <c r="D56" s="147"/>
      <c r="E56" s="147">
        <f t="shared" ref="E56:E61" si="29">C56+D56-F56-G56-H56-I56-J56-K56</f>
        <v>578164</v>
      </c>
      <c r="F56" s="147"/>
      <c r="G56" s="147"/>
      <c r="H56" s="147"/>
      <c r="I56" s="147"/>
      <c r="J56" s="147"/>
      <c r="K56" s="147"/>
      <c r="L56" s="147"/>
      <c r="M56" s="147"/>
      <c r="N56" s="147"/>
      <c r="O56" s="147"/>
      <c r="P56" s="147"/>
      <c r="Q56" s="147"/>
      <c r="R56" s="516">
        <f t="shared" ref="R56:R61" si="30">SUM(E56:Q56)</f>
        <v>578164</v>
      </c>
      <c r="S56" s="148"/>
      <c r="T56" s="148"/>
      <c r="U56" s="143"/>
    </row>
    <row r="57" spans="1:21" s="192" customFormat="1">
      <c r="A57" s="186" t="s">
        <v>152</v>
      </c>
      <c r="B57" s="193">
        <f t="shared" si="28"/>
        <v>0</v>
      </c>
      <c r="C57" s="190">
        <f>'[1]Data Port'!$G$1292</f>
        <v>0</v>
      </c>
      <c r="D57" s="190"/>
      <c r="E57" s="190">
        <f t="shared" si="29"/>
        <v>0</v>
      </c>
      <c r="F57" s="190"/>
      <c r="G57" s="190"/>
      <c r="H57" s="190"/>
      <c r="I57" s="190"/>
      <c r="J57" s="190"/>
      <c r="K57" s="190"/>
      <c r="L57" s="190"/>
      <c r="M57" s="190"/>
      <c r="N57" s="190"/>
      <c r="O57" s="190"/>
      <c r="P57" s="190"/>
      <c r="Q57" s="190"/>
      <c r="R57" s="516">
        <f t="shared" si="30"/>
        <v>0</v>
      </c>
      <c r="S57" s="194"/>
      <c r="T57" s="194"/>
      <c r="U57" s="191"/>
    </row>
    <row r="58" spans="1:21" s="144" customFormat="1">
      <c r="A58" s="145" t="s">
        <v>156</v>
      </c>
      <c r="B58" s="146">
        <f t="shared" si="28"/>
        <v>25000</v>
      </c>
      <c r="C58" s="147">
        <f>'[1]Data Port'!$G$1293</f>
        <v>25000</v>
      </c>
      <c r="D58" s="147"/>
      <c r="E58" s="147">
        <f t="shared" si="29"/>
        <v>25000</v>
      </c>
      <c r="F58" s="147"/>
      <c r="G58" s="147"/>
      <c r="H58" s="147"/>
      <c r="I58" s="147"/>
      <c r="J58" s="147"/>
      <c r="K58" s="147"/>
      <c r="L58" s="147"/>
      <c r="M58" s="147"/>
      <c r="N58" s="147"/>
      <c r="O58" s="147"/>
      <c r="P58" s="147"/>
      <c r="Q58" s="147"/>
      <c r="R58" s="516">
        <f t="shared" si="30"/>
        <v>25000</v>
      </c>
      <c r="S58" s="148"/>
      <c r="T58" s="148"/>
      <c r="U58" s="143"/>
    </row>
    <row r="59" spans="1:21" s="144" customFormat="1">
      <c r="A59" s="283" t="s">
        <v>154</v>
      </c>
      <c r="B59" s="146">
        <f t="shared" si="28"/>
        <v>0</v>
      </c>
      <c r="C59" s="147">
        <f>'[1]Data Port'!$G$1294</f>
        <v>0</v>
      </c>
      <c r="D59" s="147"/>
      <c r="E59" s="147">
        <f t="shared" si="29"/>
        <v>0</v>
      </c>
      <c r="F59" s="147"/>
      <c r="G59" s="147"/>
      <c r="H59" s="147"/>
      <c r="I59" s="147"/>
      <c r="J59" s="147"/>
      <c r="K59" s="147"/>
      <c r="L59" s="147"/>
      <c r="M59" s="147"/>
      <c r="N59" s="147"/>
      <c r="O59" s="147"/>
      <c r="P59" s="147"/>
      <c r="Q59" s="147"/>
      <c r="R59" s="516">
        <f t="shared" si="30"/>
        <v>0</v>
      </c>
      <c r="S59" s="148"/>
      <c r="T59" s="148"/>
      <c r="U59" s="143"/>
    </row>
    <row r="60" spans="1:21" s="144" customFormat="1">
      <c r="A60" s="145" t="s">
        <v>155</v>
      </c>
      <c r="B60" s="146">
        <f t="shared" si="28"/>
        <v>0</v>
      </c>
      <c r="C60" s="147">
        <f>'[1]Data Port'!$G$1295</f>
        <v>0</v>
      </c>
      <c r="D60" s="147"/>
      <c r="E60" s="147">
        <f t="shared" si="29"/>
        <v>0</v>
      </c>
      <c r="F60" s="147"/>
      <c r="G60" s="147"/>
      <c r="H60" s="147"/>
      <c r="I60" s="147"/>
      <c r="J60" s="147"/>
      <c r="K60" s="147"/>
      <c r="L60" s="147"/>
      <c r="M60" s="147"/>
      <c r="N60" s="147"/>
      <c r="O60" s="147"/>
      <c r="P60" s="147"/>
      <c r="Q60" s="147"/>
      <c r="R60" s="516">
        <f t="shared" si="30"/>
        <v>0</v>
      </c>
      <c r="S60" s="148"/>
      <c r="T60" s="148"/>
      <c r="U60" s="143"/>
    </row>
    <row r="61" spans="1:21" s="144" customFormat="1" ht="24">
      <c r="A61" s="1149" t="str">
        <f>'[1]Data Port'!$B$1296</f>
        <v>Other: Misc due dilligence and applicant legal and Misc</v>
      </c>
      <c r="B61" s="146">
        <f t="shared" si="28"/>
        <v>90000</v>
      </c>
      <c r="C61" s="147">
        <f>'[1]Data Port'!$G$1296</f>
        <v>90000</v>
      </c>
      <c r="D61" s="147"/>
      <c r="E61" s="147">
        <f t="shared" si="29"/>
        <v>90000</v>
      </c>
      <c r="F61" s="147"/>
      <c r="G61" s="147"/>
      <c r="H61" s="147"/>
      <c r="I61" s="147"/>
      <c r="J61" s="147"/>
      <c r="K61" s="147"/>
      <c r="L61" s="147"/>
      <c r="M61" s="147"/>
      <c r="N61" s="147"/>
      <c r="O61" s="147"/>
      <c r="P61" s="147"/>
      <c r="Q61" s="147"/>
      <c r="R61" s="516">
        <f t="shared" si="30"/>
        <v>90000</v>
      </c>
      <c r="S61" s="148"/>
      <c r="T61" s="148"/>
      <c r="U61" s="143"/>
    </row>
    <row r="62" spans="1:21" s="144" customFormat="1" ht="13.7" customHeight="1">
      <c r="A62" s="149" t="s">
        <v>301</v>
      </c>
      <c r="B62" s="146">
        <f>SUM(C62:D62)</f>
        <v>693164</v>
      </c>
      <c r="C62" s="146">
        <f t="shared" ref="C62:R62" si="31">SUM(C56:C61)</f>
        <v>693164</v>
      </c>
      <c r="D62" s="146">
        <f t="shared" si="31"/>
        <v>0</v>
      </c>
      <c r="E62" s="146">
        <f t="shared" si="31"/>
        <v>693164</v>
      </c>
      <c r="F62" s="146">
        <f t="shared" si="31"/>
        <v>0</v>
      </c>
      <c r="G62" s="146">
        <f t="shared" si="31"/>
        <v>0</v>
      </c>
      <c r="H62" s="146">
        <f t="shared" si="31"/>
        <v>0</v>
      </c>
      <c r="I62" s="146">
        <f t="shared" si="31"/>
        <v>0</v>
      </c>
      <c r="J62" s="146">
        <f t="shared" si="31"/>
        <v>0</v>
      </c>
      <c r="K62" s="146">
        <f t="shared" si="31"/>
        <v>0</v>
      </c>
      <c r="L62" s="146">
        <f t="shared" si="31"/>
        <v>0</v>
      </c>
      <c r="M62" s="146">
        <f t="shared" si="31"/>
        <v>0</v>
      </c>
      <c r="N62" s="146">
        <f t="shared" si="31"/>
        <v>0</v>
      </c>
      <c r="O62" s="146">
        <f t="shared" si="31"/>
        <v>0</v>
      </c>
      <c r="P62" s="146">
        <f t="shared" si="31"/>
        <v>0</v>
      </c>
      <c r="Q62" s="146">
        <f t="shared" si="31"/>
        <v>0</v>
      </c>
      <c r="R62" s="342">
        <f t="shared" si="31"/>
        <v>693164</v>
      </c>
      <c r="S62" s="148"/>
      <c r="T62" s="148"/>
      <c r="U62" s="143"/>
    </row>
    <row r="63" spans="1:21" s="144" customFormat="1">
      <c r="A63" s="154" t="s">
        <v>302</v>
      </c>
      <c r="B63" s="146">
        <f t="shared" ref="B63:R63" si="32">SUM(B8+B11+B13+B14+B15+B26+B27+B38+B42+B43+B54+B62)</f>
        <v>87148579</v>
      </c>
      <c r="C63" s="146">
        <f t="shared" si="32"/>
        <v>87148579</v>
      </c>
      <c r="D63" s="146">
        <f t="shared" si="32"/>
        <v>0</v>
      </c>
      <c r="E63" s="146">
        <f t="shared" si="32"/>
        <v>29332203</v>
      </c>
      <c r="F63" s="146">
        <f t="shared" si="32"/>
        <v>57816376</v>
      </c>
      <c r="G63" s="146">
        <f t="shared" si="32"/>
        <v>0</v>
      </c>
      <c r="H63" s="146">
        <f t="shared" si="32"/>
        <v>0</v>
      </c>
      <c r="I63" s="146">
        <f t="shared" si="32"/>
        <v>0</v>
      </c>
      <c r="J63" s="146">
        <f t="shared" si="32"/>
        <v>0</v>
      </c>
      <c r="K63" s="146">
        <f t="shared" si="32"/>
        <v>0</v>
      </c>
      <c r="L63" s="146">
        <f t="shared" si="32"/>
        <v>0</v>
      </c>
      <c r="M63" s="146">
        <f t="shared" si="32"/>
        <v>0</v>
      </c>
      <c r="N63" s="146">
        <f t="shared" si="32"/>
        <v>0</v>
      </c>
      <c r="O63" s="146">
        <f t="shared" si="32"/>
        <v>0</v>
      </c>
      <c r="P63" s="146">
        <f t="shared" si="32"/>
        <v>0</v>
      </c>
      <c r="Q63" s="146">
        <f t="shared" si="32"/>
        <v>0</v>
      </c>
      <c r="R63" s="342">
        <f t="shared" si="32"/>
        <v>87148579</v>
      </c>
      <c r="S63" s="146">
        <f>SUM(S10+S13+S14+S15+S26+S27+S38+S42+S43+S54)</f>
        <v>81270485</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Port'!$G$1298</f>
        <v>125000</v>
      </c>
      <c r="D65" s="147"/>
      <c r="E65" s="147">
        <f t="shared" ref="E65:E69" si="33">C65+D65-F65-G65-H65-I65-J65-K65</f>
        <v>125000</v>
      </c>
      <c r="F65" s="147"/>
      <c r="G65" s="147"/>
      <c r="H65" s="147"/>
      <c r="I65" s="147"/>
      <c r="J65" s="147"/>
      <c r="K65" s="147"/>
      <c r="L65" s="147"/>
      <c r="M65" s="147"/>
      <c r="N65" s="147"/>
      <c r="O65" s="147"/>
      <c r="P65" s="147"/>
      <c r="Q65" s="147"/>
      <c r="R65" s="516">
        <f>SUM(E65:Q65)</f>
        <v>125000</v>
      </c>
      <c r="S65" s="147">
        <f>'[1]Data Port'!$G$1299</f>
        <v>75000</v>
      </c>
      <c r="T65" s="147"/>
      <c r="U65" s="143"/>
    </row>
    <row r="66" spans="1:21" s="144" customFormat="1" ht="24" customHeight="1">
      <c r="A66" s="283" t="s">
        <v>1639</v>
      </c>
      <c r="B66" s="146">
        <f>SUM(C66+D66)</f>
        <v>15000</v>
      </c>
      <c r="C66" s="147">
        <f>'[1]Data Port'!$G$1300</f>
        <v>15000</v>
      </c>
      <c r="D66" s="147"/>
      <c r="E66" s="147">
        <f t="shared" si="33"/>
        <v>15000</v>
      </c>
      <c r="F66" s="147"/>
      <c r="G66" s="147"/>
      <c r="H66" s="147"/>
      <c r="I66" s="147"/>
      <c r="J66" s="147"/>
      <c r="K66" s="147"/>
      <c r="L66" s="147"/>
      <c r="M66" s="147"/>
      <c r="N66" s="147"/>
      <c r="O66" s="147"/>
      <c r="P66" s="147"/>
      <c r="Q66" s="147"/>
      <c r="R66" s="516">
        <f>SUM(E66:Q66)</f>
        <v>15000</v>
      </c>
      <c r="S66" s="147">
        <f t="shared" ref="S66:S69" si="34">C66</f>
        <v>15000</v>
      </c>
      <c r="T66" s="147"/>
      <c r="U66" s="143"/>
    </row>
    <row r="67" spans="1:21" s="144" customFormat="1" ht="24" customHeight="1">
      <c r="A67" s="283" t="s">
        <v>1640</v>
      </c>
      <c r="B67" s="146">
        <f>SUM(C67+D67)</f>
        <v>240000</v>
      </c>
      <c r="C67" s="147">
        <f>'[1]Data Port'!$G$1301</f>
        <v>240000</v>
      </c>
      <c r="D67" s="147"/>
      <c r="E67" s="147">
        <f t="shared" si="33"/>
        <v>240000</v>
      </c>
      <c r="F67" s="147"/>
      <c r="G67" s="147"/>
      <c r="H67" s="147"/>
      <c r="I67" s="147"/>
      <c r="J67" s="147"/>
      <c r="K67" s="147"/>
      <c r="L67" s="147"/>
      <c r="M67" s="147"/>
      <c r="N67" s="147"/>
      <c r="O67" s="147"/>
      <c r="P67" s="147"/>
      <c r="Q67" s="147"/>
      <c r="R67" s="516">
        <f>SUM(E67:Q67)</f>
        <v>240000</v>
      </c>
      <c r="S67" s="147">
        <f t="shared" si="34"/>
        <v>240000</v>
      </c>
      <c r="T67" s="147"/>
      <c r="U67" s="143"/>
    </row>
    <row r="68" spans="1:21" s="144" customFormat="1" ht="12" customHeight="1">
      <c r="A68" s="283" t="s">
        <v>1646</v>
      </c>
      <c r="B68" s="146">
        <f>SUM(C68+D68)</f>
        <v>0</v>
      </c>
      <c r="C68" s="147">
        <f>'[1]Data Port'!$G$1302</f>
        <v>0</v>
      </c>
      <c r="D68" s="147"/>
      <c r="E68" s="147">
        <f t="shared" si="33"/>
        <v>0</v>
      </c>
      <c r="F68" s="147"/>
      <c r="G68" s="147"/>
      <c r="H68" s="147"/>
      <c r="I68" s="147"/>
      <c r="J68" s="147"/>
      <c r="K68" s="147"/>
      <c r="L68" s="147"/>
      <c r="M68" s="147"/>
      <c r="N68" s="147"/>
      <c r="O68" s="147"/>
      <c r="P68" s="147"/>
      <c r="Q68" s="147"/>
      <c r="R68" s="516">
        <f>SUM(E68:Q68)</f>
        <v>0</v>
      </c>
      <c r="S68" s="147">
        <f t="shared" si="34"/>
        <v>0</v>
      </c>
      <c r="T68" s="147"/>
      <c r="U68" s="143"/>
    </row>
    <row r="69" spans="1:21" s="144" customFormat="1" ht="24">
      <c r="A69" s="1149" t="str">
        <f>'[1]Data Port'!$B$1303</f>
        <v>Applicant construction legal and due dilligence</v>
      </c>
      <c r="B69" s="146">
        <f>SUM(C69+D69)</f>
        <v>165000</v>
      </c>
      <c r="C69" s="147">
        <f>'[1]Data Port'!$G$1303</f>
        <v>165000</v>
      </c>
      <c r="D69" s="147"/>
      <c r="E69" s="147">
        <f t="shared" si="33"/>
        <v>165000</v>
      </c>
      <c r="F69" s="147"/>
      <c r="G69" s="147"/>
      <c r="H69" s="147"/>
      <c r="I69" s="147"/>
      <c r="J69" s="147"/>
      <c r="K69" s="147"/>
      <c r="L69" s="147"/>
      <c r="M69" s="147"/>
      <c r="N69" s="147"/>
      <c r="O69" s="147"/>
      <c r="P69" s="147"/>
      <c r="Q69" s="147"/>
      <c r="R69" s="516">
        <f>SUM(E69:Q69)</f>
        <v>165000</v>
      </c>
      <c r="S69" s="147">
        <f t="shared" si="34"/>
        <v>165000</v>
      </c>
      <c r="T69" s="147"/>
      <c r="U69" s="143"/>
    </row>
    <row r="70" spans="1:21" s="144" customFormat="1">
      <c r="A70" s="149" t="s">
        <v>1643</v>
      </c>
      <c r="B70" s="146">
        <f>SUM(C70:D70)</f>
        <v>545000</v>
      </c>
      <c r="C70" s="146">
        <f>SUM(C65:C69)</f>
        <v>545000</v>
      </c>
      <c r="D70" s="146">
        <f>SUM(D65:D69)</f>
        <v>0</v>
      </c>
      <c r="E70" s="146">
        <f t="shared" ref="E70:T70" si="35">SUM(E65:E69)</f>
        <v>545000</v>
      </c>
      <c r="F70" s="146">
        <f t="shared" si="35"/>
        <v>0</v>
      </c>
      <c r="G70" s="146">
        <f t="shared" si="35"/>
        <v>0</v>
      </c>
      <c r="H70" s="146">
        <f t="shared" si="35"/>
        <v>0</v>
      </c>
      <c r="I70" s="146">
        <f t="shared" si="35"/>
        <v>0</v>
      </c>
      <c r="J70" s="146">
        <f t="shared" si="35"/>
        <v>0</v>
      </c>
      <c r="K70" s="146">
        <f t="shared" si="35"/>
        <v>0</v>
      </c>
      <c r="L70" s="146">
        <f t="shared" si="35"/>
        <v>0</v>
      </c>
      <c r="M70" s="146">
        <f t="shared" si="35"/>
        <v>0</v>
      </c>
      <c r="N70" s="146">
        <f t="shared" si="35"/>
        <v>0</v>
      </c>
      <c r="O70" s="146">
        <f t="shared" si="35"/>
        <v>0</v>
      </c>
      <c r="P70" s="146">
        <f t="shared" si="35"/>
        <v>0</v>
      </c>
      <c r="Q70" s="146">
        <f t="shared" si="35"/>
        <v>0</v>
      </c>
      <c r="R70" s="342">
        <f t="shared" si="35"/>
        <v>545000</v>
      </c>
      <c r="S70" s="150">
        <f t="shared" si="35"/>
        <v>495000</v>
      </c>
      <c r="T70" s="150">
        <f t="shared" si="3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f>'[1]Data Port'!$G$1305</f>
        <v>0</v>
      </c>
      <c r="D72" s="147"/>
      <c r="E72" s="147">
        <f t="shared" ref="E72:E76" si="36">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f>'[1]Data Port'!$G$1306</f>
        <v>0</v>
      </c>
      <c r="D73" s="147"/>
      <c r="E73" s="147">
        <f t="shared" si="36"/>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1463678</v>
      </c>
      <c r="C75" s="147">
        <f>'[1]Data Port'!$G$1308</f>
        <v>1463678</v>
      </c>
      <c r="D75" s="147"/>
      <c r="E75" s="147">
        <f t="shared" si="36"/>
        <v>1313542</v>
      </c>
      <c r="F75" s="147"/>
      <c r="G75" s="147">
        <f>G108</f>
        <v>150136</v>
      </c>
      <c r="H75" s="147"/>
      <c r="I75" s="147"/>
      <c r="J75" s="147"/>
      <c r="K75" s="147"/>
      <c r="L75" s="147"/>
      <c r="M75" s="147"/>
      <c r="N75" s="147"/>
      <c r="O75" s="147"/>
      <c r="P75" s="147"/>
      <c r="Q75" s="147"/>
      <c r="R75" s="516">
        <f>SUM(E75:Q75)</f>
        <v>1463678</v>
      </c>
      <c r="S75" s="148"/>
      <c r="T75" s="148"/>
      <c r="U75" s="143"/>
    </row>
    <row r="76" spans="1:21" s="144" customFormat="1">
      <c r="A76" s="1149" t="str">
        <f>'[1]Data Port'!$B$1309</f>
        <v>Other: (Specify)</v>
      </c>
      <c r="B76" s="146">
        <f>SUM(C76+D76)</f>
        <v>0</v>
      </c>
      <c r="C76" s="147">
        <f>'[1]Data Port'!$G$1309</f>
        <v>0</v>
      </c>
      <c r="D76" s="147"/>
      <c r="E76" s="147">
        <f t="shared" si="36"/>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1463678</v>
      </c>
      <c r="C77" s="146">
        <f>SUM(C72:C76)</f>
        <v>1463678</v>
      </c>
      <c r="D77" s="146">
        <f>SUM(D72:D76)</f>
        <v>0</v>
      </c>
      <c r="E77" s="146">
        <f t="shared" ref="E77:Q77" si="37">SUM(E72:E76)</f>
        <v>1313542</v>
      </c>
      <c r="F77" s="146">
        <f t="shared" si="37"/>
        <v>0</v>
      </c>
      <c r="G77" s="146">
        <f t="shared" si="37"/>
        <v>150136</v>
      </c>
      <c r="H77" s="146">
        <f t="shared" si="37"/>
        <v>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42">
        <f>SUM(R72:R76)</f>
        <v>1463678</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3693035</v>
      </c>
      <c r="C79" s="147">
        <f>'[1]Data Port'!$G$1311</f>
        <v>3693035</v>
      </c>
      <c r="D79" s="147"/>
      <c r="E79" s="147">
        <f t="shared" ref="E79:E80" si="38">C79+D79-F79-G79-H79-I79-J79-K79</f>
        <v>3693035</v>
      </c>
      <c r="F79" s="147"/>
      <c r="G79" s="147"/>
      <c r="H79" s="147"/>
      <c r="I79" s="147"/>
      <c r="J79" s="147"/>
      <c r="K79" s="147"/>
      <c r="L79" s="147"/>
      <c r="M79" s="147"/>
      <c r="N79" s="147"/>
      <c r="O79" s="147"/>
      <c r="P79" s="147"/>
      <c r="Q79" s="147"/>
      <c r="R79" s="516">
        <f>SUM(E79:Q79)</f>
        <v>3693035</v>
      </c>
      <c r="S79" s="147">
        <f t="shared" ref="S79:S80" si="39">C79</f>
        <v>3693035</v>
      </c>
      <c r="T79" s="147"/>
      <c r="U79" s="143"/>
    </row>
    <row r="80" spans="1:21" s="144" customFormat="1">
      <c r="A80" s="283" t="s">
        <v>58</v>
      </c>
      <c r="B80" s="146">
        <f>SUM(C80:D80)</f>
        <v>313842</v>
      </c>
      <c r="C80" s="147">
        <f>'[1]Data Port'!$G$1312</f>
        <v>313842</v>
      </c>
      <c r="D80" s="147"/>
      <c r="E80" s="147">
        <f t="shared" si="38"/>
        <v>313842</v>
      </c>
      <c r="F80" s="147"/>
      <c r="G80" s="147"/>
      <c r="H80" s="147"/>
      <c r="I80" s="147"/>
      <c r="J80" s="147"/>
      <c r="K80" s="147"/>
      <c r="L80" s="147"/>
      <c r="M80" s="147"/>
      <c r="N80" s="147"/>
      <c r="O80" s="147"/>
      <c r="P80" s="147"/>
      <c r="Q80" s="147"/>
      <c r="R80" s="516">
        <f>SUM(E80:Q80)</f>
        <v>313842</v>
      </c>
      <c r="S80" s="147">
        <f t="shared" si="39"/>
        <v>313842</v>
      </c>
      <c r="T80" s="147"/>
      <c r="U80" s="143"/>
    </row>
    <row r="81" spans="1:21" s="144" customFormat="1">
      <c r="A81" s="149" t="s">
        <v>1207</v>
      </c>
      <c r="B81" s="146">
        <f>SUM(C81:D81)</f>
        <v>4006877</v>
      </c>
      <c r="C81" s="509">
        <f>SUM(C79:C80)</f>
        <v>4006877</v>
      </c>
      <c r="D81" s="509">
        <f t="shared" ref="D81:T81" si="40">SUM(D79:D80)</f>
        <v>0</v>
      </c>
      <c r="E81" s="509">
        <f t="shared" si="40"/>
        <v>4006877</v>
      </c>
      <c r="F81" s="509">
        <f t="shared" si="40"/>
        <v>0</v>
      </c>
      <c r="G81" s="509">
        <f t="shared" si="40"/>
        <v>0</v>
      </c>
      <c r="H81" s="509">
        <f t="shared" si="40"/>
        <v>0</v>
      </c>
      <c r="I81" s="509">
        <f t="shared" si="40"/>
        <v>0</v>
      </c>
      <c r="J81" s="509">
        <f t="shared" si="40"/>
        <v>0</v>
      </c>
      <c r="K81" s="509">
        <f t="shared" si="40"/>
        <v>0</v>
      </c>
      <c r="L81" s="509">
        <f t="shared" si="40"/>
        <v>0</v>
      </c>
      <c r="M81" s="509">
        <f t="shared" si="40"/>
        <v>0</v>
      </c>
      <c r="N81" s="509">
        <f t="shared" si="40"/>
        <v>0</v>
      </c>
      <c r="O81" s="509">
        <f t="shared" si="40"/>
        <v>0</v>
      </c>
      <c r="P81" s="509">
        <f t="shared" si="40"/>
        <v>0</v>
      </c>
      <c r="Q81" s="509">
        <f t="shared" si="40"/>
        <v>0</v>
      </c>
      <c r="R81" s="509">
        <f t="shared" si="40"/>
        <v>4006877</v>
      </c>
      <c r="S81" s="509">
        <f t="shared" si="40"/>
        <v>4006877</v>
      </c>
      <c r="T81" s="509">
        <f t="shared" si="4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si="41">SUM(C83+D83)</f>
        <v>239400</v>
      </c>
      <c r="C83" s="147">
        <f>'[1]Data Port'!$G$1314</f>
        <v>239400</v>
      </c>
      <c r="D83" s="147"/>
      <c r="E83" s="147">
        <f t="shared" ref="E83:E95" si="42">C83+D83-F83-G83-H83-I83-J83-K83</f>
        <v>239400</v>
      </c>
      <c r="F83" s="147"/>
      <c r="G83" s="147"/>
      <c r="H83" s="147"/>
      <c r="I83" s="147"/>
      <c r="J83" s="147"/>
      <c r="K83" s="147"/>
      <c r="L83" s="147"/>
      <c r="M83" s="147"/>
      <c r="N83" s="147"/>
      <c r="O83" s="147"/>
      <c r="P83" s="147"/>
      <c r="Q83" s="147"/>
      <c r="R83" s="516">
        <f t="shared" ref="R83:R95" si="43">SUM(E83:Q83)</f>
        <v>239400</v>
      </c>
      <c r="S83" s="148"/>
      <c r="T83" s="148"/>
      <c r="U83" s="143"/>
    </row>
    <row r="84" spans="1:21" s="144" customFormat="1">
      <c r="A84" s="145" t="s">
        <v>766</v>
      </c>
      <c r="B84" s="146">
        <f t="shared" si="41"/>
        <v>25000</v>
      </c>
      <c r="C84" s="147">
        <f>'[1]Data Port'!$G$1315</f>
        <v>25000</v>
      </c>
      <c r="D84" s="147"/>
      <c r="E84" s="147">
        <f t="shared" si="42"/>
        <v>25000</v>
      </c>
      <c r="F84" s="147"/>
      <c r="G84" s="147"/>
      <c r="H84" s="147"/>
      <c r="I84" s="147"/>
      <c r="J84" s="147"/>
      <c r="K84" s="147"/>
      <c r="L84" s="147"/>
      <c r="M84" s="147"/>
      <c r="N84" s="147"/>
      <c r="O84" s="147"/>
      <c r="P84" s="147"/>
      <c r="Q84" s="147"/>
      <c r="R84" s="516">
        <f t="shared" si="43"/>
        <v>25000</v>
      </c>
      <c r="S84" s="147">
        <f t="shared" ref="S84:S87" si="44">C84</f>
        <v>25000</v>
      </c>
      <c r="T84" s="147"/>
      <c r="U84" s="143"/>
    </row>
    <row r="85" spans="1:21" s="144" customFormat="1">
      <c r="A85" s="145" t="s">
        <v>767</v>
      </c>
      <c r="B85" s="146">
        <f t="shared" si="41"/>
        <v>692000</v>
      </c>
      <c r="C85" s="147">
        <f>'[1]Data Port'!$G$1316</f>
        <v>692000</v>
      </c>
      <c r="D85" s="147"/>
      <c r="E85" s="147">
        <f t="shared" si="42"/>
        <v>692000</v>
      </c>
      <c r="F85" s="147"/>
      <c r="G85" s="147"/>
      <c r="H85" s="147"/>
      <c r="I85" s="147"/>
      <c r="J85" s="147"/>
      <c r="K85" s="147"/>
      <c r="L85" s="147"/>
      <c r="M85" s="147"/>
      <c r="N85" s="147"/>
      <c r="O85" s="147"/>
      <c r="P85" s="147"/>
      <c r="Q85" s="147"/>
      <c r="R85" s="516">
        <f t="shared" si="43"/>
        <v>692000</v>
      </c>
      <c r="S85" s="147">
        <f t="shared" si="44"/>
        <v>692000</v>
      </c>
      <c r="T85" s="147"/>
      <c r="U85" s="143"/>
    </row>
    <row r="86" spans="1:21" s="144" customFormat="1">
      <c r="A86" s="145" t="s">
        <v>768</v>
      </c>
      <c r="B86" s="146">
        <f t="shared" si="41"/>
        <v>2422000</v>
      </c>
      <c r="C86" s="147">
        <f>'[1]Data Port'!$G$1317</f>
        <v>2422000</v>
      </c>
      <c r="D86" s="147"/>
      <c r="E86" s="147">
        <f t="shared" si="42"/>
        <v>2422000</v>
      </c>
      <c r="F86" s="147"/>
      <c r="G86" s="147"/>
      <c r="H86" s="147"/>
      <c r="I86" s="147"/>
      <c r="J86" s="147"/>
      <c r="K86" s="147"/>
      <c r="L86" s="147"/>
      <c r="M86" s="147"/>
      <c r="N86" s="147"/>
      <c r="O86" s="147"/>
      <c r="P86" s="147"/>
      <c r="Q86" s="147"/>
      <c r="R86" s="516">
        <f t="shared" si="43"/>
        <v>2422000</v>
      </c>
      <c r="S86" s="147">
        <f t="shared" si="44"/>
        <v>2422000</v>
      </c>
      <c r="T86" s="147"/>
      <c r="U86" s="143"/>
    </row>
    <row r="87" spans="1:21" s="144" customFormat="1">
      <c r="A87" s="145" t="s">
        <v>769</v>
      </c>
      <c r="B87" s="146">
        <f t="shared" si="41"/>
        <v>2076000</v>
      </c>
      <c r="C87" s="147">
        <f>'[1]Data Port'!$G$1318</f>
        <v>2076000</v>
      </c>
      <c r="D87" s="147"/>
      <c r="E87" s="147">
        <f t="shared" si="42"/>
        <v>2076000</v>
      </c>
      <c r="F87" s="147"/>
      <c r="G87" s="147"/>
      <c r="H87" s="147"/>
      <c r="I87" s="147"/>
      <c r="J87" s="147"/>
      <c r="K87" s="147"/>
      <c r="L87" s="147"/>
      <c r="M87" s="147"/>
      <c r="N87" s="147"/>
      <c r="O87" s="147"/>
      <c r="P87" s="147"/>
      <c r="Q87" s="147"/>
      <c r="R87" s="516">
        <f t="shared" si="43"/>
        <v>2076000</v>
      </c>
      <c r="S87" s="147">
        <f t="shared" si="44"/>
        <v>2076000</v>
      </c>
      <c r="T87" s="147"/>
      <c r="U87" s="143"/>
    </row>
    <row r="88" spans="1:21" s="144" customFormat="1">
      <c r="A88" s="145" t="s">
        <v>770</v>
      </c>
      <c r="B88" s="146">
        <f t="shared" si="41"/>
        <v>467100</v>
      </c>
      <c r="C88" s="147">
        <f>'[1]Data Port'!$G$1319</f>
        <v>467100</v>
      </c>
      <c r="D88" s="147"/>
      <c r="E88" s="147">
        <f t="shared" si="42"/>
        <v>467100</v>
      </c>
      <c r="F88" s="147"/>
      <c r="G88" s="147"/>
      <c r="H88" s="147"/>
      <c r="I88" s="147"/>
      <c r="J88" s="147"/>
      <c r="K88" s="147"/>
      <c r="L88" s="147"/>
      <c r="M88" s="147"/>
      <c r="N88" s="147"/>
      <c r="O88" s="147"/>
      <c r="P88" s="147"/>
      <c r="Q88" s="147"/>
      <c r="R88" s="516">
        <f t="shared" si="43"/>
        <v>467100</v>
      </c>
      <c r="S88" s="148"/>
      <c r="T88" s="148"/>
      <c r="U88" s="143"/>
    </row>
    <row r="89" spans="1:21" s="144" customFormat="1">
      <c r="A89" s="145" t="s">
        <v>771</v>
      </c>
      <c r="B89" s="146">
        <f t="shared" si="41"/>
        <v>0</v>
      </c>
      <c r="C89" s="147">
        <f>'[1]Data Port'!$G$1320</f>
        <v>0</v>
      </c>
      <c r="D89" s="147"/>
      <c r="E89" s="147">
        <f t="shared" si="42"/>
        <v>0</v>
      </c>
      <c r="F89" s="147"/>
      <c r="G89" s="147"/>
      <c r="H89" s="147"/>
      <c r="I89" s="147"/>
      <c r="J89" s="147"/>
      <c r="K89" s="147"/>
      <c r="L89" s="147"/>
      <c r="M89" s="147"/>
      <c r="N89" s="147"/>
      <c r="O89" s="147"/>
      <c r="P89" s="147"/>
      <c r="Q89" s="147"/>
      <c r="R89" s="516">
        <f t="shared" si="43"/>
        <v>0</v>
      </c>
      <c r="S89" s="147">
        <f t="shared" ref="S89:S95" si="45">C89</f>
        <v>0</v>
      </c>
      <c r="T89" s="147"/>
      <c r="U89" s="143"/>
    </row>
    <row r="90" spans="1:21" s="144" customFormat="1">
      <c r="A90" s="145" t="s">
        <v>772</v>
      </c>
      <c r="B90" s="146">
        <f t="shared" si="41"/>
        <v>10000</v>
      </c>
      <c r="C90" s="147">
        <f>'[1]Data Port'!$G$1321</f>
        <v>10000</v>
      </c>
      <c r="D90" s="147"/>
      <c r="E90" s="147">
        <f t="shared" si="42"/>
        <v>10000</v>
      </c>
      <c r="F90" s="147"/>
      <c r="G90" s="147"/>
      <c r="H90" s="147"/>
      <c r="I90" s="147"/>
      <c r="J90" s="147"/>
      <c r="K90" s="147"/>
      <c r="L90" s="147"/>
      <c r="M90" s="147"/>
      <c r="N90" s="147"/>
      <c r="O90" s="147"/>
      <c r="P90" s="147"/>
      <c r="Q90" s="147"/>
      <c r="R90" s="516">
        <f t="shared" si="43"/>
        <v>10000</v>
      </c>
      <c r="S90" s="147">
        <f t="shared" si="45"/>
        <v>10000</v>
      </c>
      <c r="T90" s="147"/>
      <c r="U90" s="143"/>
    </row>
    <row r="91" spans="1:21" s="144" customFormat="1">
      <c r="A91" s="145" t="s">
        <v>371</v>
      </c>
      <c r="B91" s="146">
        <f t="shared" si="41"/>
        <v>65000</v>
      </c>
      <c r="C91" s="147">
        <f>'[1]Data Port'!$G$1322</f>
        <v>65000</v>
      </c>
      <c r="D91" s="147"/>
      <c r="E91" s="147">
        <f t="shared" si="42"/>
        <v>65000</v>
      </c>
      <c r="F91" s="147"/>
      <c r="G91" s="147"/>
      <c r="H91" s="147"/>
      <c r="I91" s="147"/>
      <c r="J91" s="147"/>
      <c r="K91" s="147"/>
      <c r="L91" s="147"/>
      <c r="M91" s="147"/>
      <c r="N91" s="147"/>
      <c r="O91" s="147"/>
      <c r="P91" s="147"/>
      <c r="Q91" s="147"/>
      <c r="R91" s="516">
        <f t="shared" si="43"/>
        <v>65000</v>
      </c>
      <c r="S91" s="147">
        <f>C91*0</f>
        <v>0</v>
      </c>
      <c r="T91" s="147"/>
      <c r="U91" s="143"/>
    </row>
    <row r="92" spans="1:21" s="144" customFormat="1">
      <c r="A92" s="283" t="s">
        <v>1209</v>
      </c>
      <c r="B92" s="146">
        <f t="shared" si="41"/>
        <v>10000</v>
      </c>
      <c r="C92" s="147">
        <f>'[1]Data Port'!$G$1323</f>
        <v>10000</v>
      </c>
      <c r="D92" s="147"/>
      <c r="E92" s="147">
        <f t="shared" si="42"/>
        <v>10000</v>
      </c>
      <c r="F92" s="147"/>
      <c r="G92" s="147"/>
      <c r="H92" s="147"/>
      <c r="I92" s="147"/>
      <c r="J92" s="147"/>
      <c r="K92" s="147"/>
      <c r="L92" s="147"/>
      <c r="M92" s="147"/>
      <c r="N92" s="147"/>
      <c r="O92" s="147"/>
      <c r="P92" s="147"/>
      <c r="Q92" s="147"/>
      <c r="R92" s="516">
        <f t="shared" si="43"/>
        <v>10000</v>
      </c>
      <c r="S92" s="147">
        <f t="shared" si="45"/>
        <v>10000</v>
      </c>
      <c r="T92" s="147"/>
      <c r="U92" s="143"/>
    </row>
    <row r="93" spans="1:21" s="144" customFormat="1">
      <c r="A93" s="1149" t="s">
        <v>34</v>
      </c>
      <c r="B93" s="146">
        <f t="shared" si="41"/>
        <v>0</v>
      </c>
      <c r="C93" s="147">
        <f>'[1]Data Port'!$G$1324</f>
        <v>0</v>
      </c>
      <c r="D93" s="147"/>
      <c r="E93" s="147">
        <f t="shared" si="42"/>
        <v>0</v>
      </c>
      <c r="F93" s="147"/>
      <c r="G93" s="147"/>
      <c r="H93" s="147"/>
      <c r="I93" s="147"/>
      <c r="J93" s="147"/>
      <c r="K93" s="147"/>
      <c r="L93" s="147"/>
      <c r="M93" s="147"/>
      <c r="N93" s="147"/>
      <c r="O93" s="147"/>
      <c r="P93" s="147"/>
      <c r="Q93" s="147"/>
      <c r="R93" s="516">
        <f t="shared" si="43"/>
        <v>0</v>
      </c>
      <c r="S93" s="147">
        <f t="shared" si="45"/>
        <v>0</v>
      </c>
      <c r="T93" s="147"/>
      <c r="U93" s="143"/>
    </row>
    <row r="94" spans="1:21" s="144" customFormat="1">
      <c r="A94" s="1149" t="s">
        <v>34</v>
      </c>
      <c r="B94" s="146">
        <f t="shared" si="41"/>
        <v>0</v>
      </c>
      <c r="C94" s="147">
        <f>'[1]Data Port'!$G$1325</f>
        <v>0</v>
      </c>
      <c r="D94" s="147"/>
      <c r="E94" s="147">
        <f t="shared" si="42"/>
        <v>0</v>
      </c>
      <c r="F94" s="147"/>
      <c r="G94" s="147"/>
      <c r="H94" s="147"/>
      <c r="I94" s="147"/>
      <c r="J94" s="147"/>
      <c r="K94" s="147"/>
      <c r="L94" s="147"/>
      <c r="M94" s="147"/>
      <c r="N94" s="147"/>
      <c r="O94" s="147"/>
      <c r="P94" s="147"/>
      <c r="Q94" s="147"/>
      <c r="R94" s="516">
        <f t="shared" si="43"/>
        <v>0</v>
      </c>
      <c r="S94" s="147">
        <f t="shared" si="45"/>
        <v>0</v>
      </c>
      <c r="T94" s="147"/>
      <c r="U94" s="143"/>
    </row>
    <row r="95" spans="1:21" s="144" customFormat="1">
      <c r="A95" s="1149" t="s">
        <v>34</v>
      </c>
      <c r="B95" s="146">
        <f t="shared" si="41"/>
        <v>0</v>
      </c>
      <c r="C95" s="147">
        <f>'[1]Data Port'!$G$1326</f>
        <v>0</v>
      </c>
      <c r="D95" s="147"/>
      <c r="E95" s="147">
        <f t="shared" si="42"/>
        <v>0</v>
      </c>
      <c r="F95" s="147"/>
      <c r="G95" s="147"/>
      <c r="H95" s="147"/>
      <c r="I95" s="147"/>
      <c r="J95" s="147"/>
      <c r="K95" s="147"/>
      <c r="L95" s="147"/>
      <c r="M95" s="147"/>
      <c r="N95" s="147"/>
      <c r="O95" s="147"/>
      <c r="P95" s="147"/>
      <c r="Q95" s="147"/>
      <c r="R95" s="516">
        <f t="shared" si="43"/>
        <v>0</v>
      </c>
      <c r="S95" s="147">
        <f t="shared" si="45"/>
        <v>0</v>
      </c>
      <c r="T95" s="147"/>
      <c r="U95" s="143"/>
    </row>
    <row r="96" spans="1:21" s="144" customFormat="1">
      <c r="A96" s="149" t="s">
        <v>773</v>
      </c>
      <c r="B96" s="146">
        <f>SUM(C96:D96)</f>
        <v>6006500</v>
      </c>
      <c r="C96" s="146">
        <f t="shared" ref="C96:R96" si="46">SUM(C83:C95)</f>
        <v>6006500</v>
      </c>
      <c r="D96" s="146">
        <f t="shared" si="46"/>
        <v>0</v>
      </c>
      <c r="E96" s="146">
        <f t="shared" si="46"/>
        <v>6006500</v>
      </c>
      <c r="F96" s="146">
        <f t="shared" si="46"/>
        <v>0</v>
      </c>
      <c r="G96" s="146">
        <f t="shared" si="46"/>
        <v>0</v>
      </c>
      <c r="H96" s="146">
        <f t="shared" si="46"/>
        <v>0</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42">
        <f t="shared" si="46"/>
        <v>6006500</v>
      </c>
      <c r="S96" s="150">
        <f>SUM(S84:S87,S89:S95)</f>
        <v>5235000</v>
      </c>
      <c r="T96" s="146">
        <f>SUM(T84:T87,T89:T95)</f>
        <v>0</v>
      </c>
      <c r="U96" s="143"/>
    </row>
    <row r="97" spans="1:21" s="144" customFormat="1">
      <c r="A97" s="149" t="s">
        <v>774</v>
      </c>
      <c r="B97" s="146">
        <f>SUM(C97:D97)</f>
        <v>99170634</v>
      </c>
      <c r="C97" s="146">
        <f t="shared" ref="C97:R97" si="47">SUM(C63+C70+C77+C81+C96)</f>
        <v>99170634</v>
      </c>
      <c r="D97" s="146">
        <f t="shared" si="47"/>
        <v>0</v>
      </c>
      <c r="E97" s="146">
        <f t="shared" si="47"/>
        <v>41204122</v>
      </c>
      <c r="F97" s="146">
        <f t="shared" si="47"/>
        <v>57816376</v>
      </c>
      <c r="G97" s="146">
        <f t="shared" si="47"/>
        <v>150136</v>
      </c>
      <c r="H97" s="146">
        <f t="shared" si="47"/>
        <v>0</v>
      </c>
      <c r="I97" s="146">
        <f t="shared" si="47"/>
        <v>0</v>
      </c>
      <c r="J97" s="146">
        <f t="shared" si="47"/>
        <v>0</v>
      </c>
      <c r="K97" s="146">
        <f t="shared" si="47"/>
        <v>0</v>
      </c>
      <c r="L97" s="146">
        <f t="shared" si="47"/>
        <v>0</v>
      </c>
      <c r="M97" s="146">
        <f t="shared" si="47"/>
        <v>0</v>
      </c>
      <c r="N97" s="146">
        <f t="shared" si="47"/>
        <v>0</v>
      </c>
      <c r="O97" s="146">
        <f t="shared" si="47"/>
        <v>0</v>
      </c>
      <c r="P97" s="146">
        <f t="shared" si="47"/>
        <v>0</v>
      </c>
      <c r="Q97" s="146">
        <f t="shared" si="47"/>
        <v>0</v>
      </c>
      <c r="R97" s="146">
        <f t="shared" si="47"/>
        <v>99170634</v>
      </c>
      <c r="S97" s="146">
        <f>SUM(S63+S70+S81+S96)</f>
        <v>91007362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13651104</v>
      </c>
      <c r="C99" s="979">
        <f>'[1]Data Port'!$G$1328</f>
        <v>13651104</v>
      </c>
      <c r="D99" s="979"/>
      <c r="E99" s="979">
        <f t="shared" ref="E99:E103" si="48">C99+D99-F99-G99-H99-I99-J99-K99</f>
        <v>3290819</v>
      </c>
      <c r="F99" s="147"/>
      <c r="G99" s="147"/>
      <c r="H99" s="147">
        <f>Application!AO629</f>
        <v>10360285</v>
      </c>
      <c r="I99" s="147"/>
      <c r="J99" s="147"/>
      <c r="K99" s="147"/>
      <c r="L99" s="147"/>
      <c r="M99" s="147"/>
      <c r="N99" s="147"/>
      <c r="O99" s="147"/>
      <c r="P99" s="147"/>
      <c r="Q99" s="147"/>
      <c r="R99" s="516">
        <f>SUM(E99:Q99)</f>
        <v>13651104</v>
      </c>
      <c r="S99" s="147">
        <f t="shared" ref="S99:S103" si="49">C99</f>
        <v>13651104</v>
      </c>
      <c r="T99" s="147"/>
      <c r="U99" s="143"/>
    </row>
    <row r="100" spans="1:21" s="144" customFormat="1">
      <c r="A100" s="283" t="s">
        <v>1644</v>
      </c>
      <c r="B100" s="146">
        <f>SUM(C100+D100)</f>
        <v>0</v>
      </c>
      <c r="C100" s="147">
        <f>'[1]Data Port'!$G$1329</f>
        <v>0</v>
      </c>
      <c r="D100" s="147"/>
      <c r="E100" s="147">
        <f t="shared" si="48"/>
        <v>0</v>
      </c>
      <c r="F100" s="147"/>
      <c r="G100" s="147"/>
      <c r="H100" s="147"/>
      <c r="I100" s="147"/>
      <c r="J100" s="147"/>
      <c r="K100" s="147"/>
      <c r="L100" s="147"/>
      <c r="M100" s="147"/>
      <c r="N100" s="147"/>
      <c r="O100" s="147"/>
      <c r="P100" s="147"/>
      <c r="Q100" s="147"/>
      <c r="R100" s="516">
        <f>SUM(E100:Q100)</f>
        <v>0</v>
      </c>
      <c r="S100" s="147">
        <f t="shared" si="49"/>
        <v>0</v>
      </c>
      <c r="T100" s="147"/>
      <c r="U100" s="143"/>
    </row>
    <row r="101" spans="1:21" s="144" customFormat="1" ht="12" customHeight="1">
      <c r="A101" s="145" t="s">
        <v>777</v>
      </c>
      <c r="B101" s="146">
        <f>SUM(C101+D101)</f>
        <v>0</v>
      </c>
      <c r="C101" s="147">
        <f>'[1]Data Port'!$G$1330</f>
        <v>0</v>
      </c>
      <c r="D101" s="147"/>
      <c r="E101" s="147">
        <f t="shared" si="48"/>
        <v>0</v>
      </c>
      <c r="F101" s="147"/>
      <c r="G101" s="147"/>
      <c r="H101" s="147"/>
      <c r="I101" s="147"/>
      <c r="J101" s="147"/>
      <c r="K101" s="147"/>
      <c r="L101" s="147"/>
      <c r="M101" s="147"/>
      <c r="N101" s="147"/>
      <c r="O101" s="147"/>
      <c r="P101" s="147"/>
      <c r="Q101" s="147"/>
      <c r="R101" s="516">
        <f>SUM(E101:Q101)</f>
        <v>0</v>
      </c>
      <c r="S101" s="147">
        <f t="shared" si="49"/>
        <v>0</v>
      </c>
      <c r="T101" s="147"/>
      <c r="U101" s="143"/>
    </row>
    <row r="102" spans="1:21" s="144" customFormat="1">
      <c r="A102" s="283" t="s">
        <v>1645</v>
      </c>
      <c r="B102" s="146">
        <f>SUM(C102+D102)</f>
        <v>0</v>
      </c>
      <c r="C102" s="147">
        <f>'[1]Data Port'!$G$1331</f>
        <v>0</v>
      </c>
      <c r="D102" s="147"/>
      <c r="E102" s="147">
        <f t="shared" si="48"/>
        <v>0</v>
      </c>
      <c r="F102" s="147"/>
      <c r="G102" s="147"/>
      <c r="H102" s="147"/>
      <c r="I102" s="147"/>
      <c r="J102" s="147"/>
      <c r="K102" s="147"/>
      <c r="L102" s="147"/>
      <c r="M102" s="147"/>
      <c r="N102" s="147"/>
      <c r="O102" s="147"/>
      <c r="P102" s="147"/>
      <c r="Q102" s="147"/>
      <c r="R102" s="516">
        <f>SUM(E102:Q102)</f>
        <v>0</v>
      </c>
      <c r="S102" s="147">
        <f t="shared" si="49"/>
        <v>0</v>
      </c>
      <c r="T102" s="147"/>
      <c r="U102" s="143"/>
    </row>
    <row r="103" spans="1:21" s="144" customFormat="1">
      <c r="A103" s="1149" t="s">
        <v>34</v>
      </c>
      <c r="B103" s="146">
        <f>SUM(C103+D103)</f>
        <v>0</v>
      </c>
      <c r="C103" s="147">
        <f>'[1]Data Port'!$G$1332</f>
        <v>0</v>
      </c>
      <c r="D103" s="147"/>
      <c r="E103" s="147">
        <f t="shared" si="48"/>
        <v>0</v>
      </c>
      <c r="F103" s="147"/>
      <c r="G103" s="147"/>
      <c r="H103" s="147"/>
      <c r="I103" s="147"/>
      <c r="J103" s="147"/>
      <c r="K103" s="147"/>
      <c r="L103" s="147"/>
      <c r="M103" s="147"/>
      <c r="N103" s="147"/>
      <c r="O103" s="147"/>
      <c r="P103" s="147"/>
      <c r="Q103" s="147"/>
      <c r="R103" s="516">
        <f>SUM(E103:Q103)</f>
        <v>0</v>
      </c>
      <c r="S103" s="147">
        <f t="shared" si="49"/>
        <v>0</v>
      </c>
      <c r="T103" s="147"/>
      <c r="U103" s="143"/>
    </row>
    <row r="104" spans="1:21" s="144" customFormat="1">
      <c r="A104" s="149" t="s">
        <v>778</v>
      </c>
      <c r="B104" s="146">
        <f>SUM(C104:D104)</f>
        <v>13651104</v>
      </c>
      <c r="C104" s="146">
        <f>SUM(C99:C103)</f>
        <v>13651104</v>
      </c>
      <c r="D104" s="146">
        <f t="shared" ref="D104:T104" si="50">SUM(D99:D103)</f>
        <v>0</v>
      </c>
      <c r="E104" s="146">
        <f t="shared" si="50"/>
        <v>3290819</v>
      </c>
      <c r="F104" s="146">
        <f t="shared" si="50"/>
        <v>0</v>
      </c>
      <c r="G104" s="146">
        <f t="shared" si="50"/>
        <v>0</v>
      </c>
      <c r="H104" s="146">
        <f t="shared" si="50"/>
        <v>10360285</v>
      </c>
      <c r="I104" s="146">
        <f t="shared" si="50"/>
        <v>0</v>
      </c>
      <c r="J104" s="146">
        <f t="shared" si="50"/>
        <v>0</v>
      </c>
      <c r="K104" s="146">
        <f t="shared" si="50"/>
        <v>0</v>
      </c>
      <c r="L104" s="146">
        <f t="shared" si="50"/>
        <v>0</v>
      </c>
      <c r="M104" s="146">
        <f t="shared" si="50"/>
        <v>0</v>
      </c>
      <c r="N104" s="146">
        <f t="shared" si="50"/>
        <v>0</v>
      </c>
      <c r="O104" s="146">
        <f t="shared" si="50"/>
        <v>0</v>
      </c>
      <c r="P104" s="146">
        <f t="shared" si="50"/>
        <v>0</v>
      </c>
      <c r="Q104" s="146">
        <f t="shared" si="50"/>
        <v>0</v>
      </c>
      <c r="R104" s="342">
        <f t="shared" si="50"/>
        <v>13651104</v>
      </c>
      <c r="S104" s="150">
        <f t="shared" si="50"/>
        <v>13651104</v>
      </c>
      <c r="T104" s="150">
        <f t="shared" si="50"/>
        <v>0</v>
      </c>
      <c r="U104" s="143"/>
    </row>
    <row r="105" spans="1:21" s="144" customFormat="1">
      <c r="A105" s="149" t="s">
        <v>779</v>
      </c>
      <c r="B105" s="150">
        <f>SUM(C105:D105)</f>
        <v>112821738</v>
      </c>
      <c r="C105" s="150">
        <f t="shared" ref="C105:R105" si="51">SUM(C97+C104)</f>
        <v>112821738</v>
      </c>
      <c r="D105" s="150">
        <f t="shared" si="51"/>
        <v>0</v>
      </c>
      <c r="E105" s="150">
        <f t="shared" si="51"/>
        <v>44494941</v>
      </c>
      <c r="F105" s="150">
        <f t="shared" si="51"/>
        <v>57816376</v>
      </c>
      <c r="G105" s="150">
        <f t="shared" si="51"/>
        <v>150136</v>
      </c>
      <c r="H105" s="150">
        <f t="shared" si="51"/>
        <v>10360285</v>
      </c>
      <c r="I105" s="150">
        <f t="shared" si="51"/>
        <v>0</v>
      </c>
      <c r="J105" s="150">
        <f t="shared" si="51"/>
        <v>0</v>
      </c>
      <c r="K105" s="150">
        <f t="shared" si="51"/>
        <v>0</v>
      </c>
      <c r="L105" s="150">
        <f t="shared" si="51"/>
        <v>0</v>
      </c>
      <c r="M105" s="150">
        <f t="shared" si="51"/>
        <v>0</v>
      </c>
      <c r="N105" s="150">
        <f t="shared" si="51"/>
        <v>0</v>
      </c>
      <c r="O105" s="150">
        <f t="shared" si="51"/>
        <v>0</v>
      </c>
      <c r="P105" s="150">
        <f t="shared" si="51"/>
        <v>0</v>
      </c>
      <c r="Q105" s="150">
        <f t="shared" si="51"/>
        <v>0</v>
      </c>
      <c r="R105" s="342">
        <f t="shared" si="51"/>
        <v>112821738</v>
      </c>
      <c r="S105" s="150">
        <f>S97+S104</f>
        <v>104658466</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104658466</v>
      </c>
      <c r="T107" s="150">
        <f>T105+T106</f>
        <v>0</v>
      </c>
    </row>
    <row r="108" spans="1:21" s="189" customFormat="1">
      <c r="A108" s="162" t="s">
        <v>878</v>
      </c>
      <c r="B108" s="157"/>
      <c r="C108" s="157"/>
      <c r="D108" s="157"/>
      <c r="E108" s="301">
        <f>Application!AO640</f>
        <v>44494941</v>
      </c>
      <c r="F108" s="301">
        <f>Application!AO627</f>
        <v>57816376</v>
      </c>
      <c r="G108" s="301">
        <f>Application!AO628</f>
        <v>150136</v>
      </c>
      <c r="H108" s="301">
        <f>Application!AO629</f>
        <v>10360285</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2093</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4" t="s">
        <v>988</v>
      </c>
      <c r="E122" s="1874"/>
      <c r="F122" s="1874"/>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6" t="s">
        <v>1222</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990</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991</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995</v>
      </c>
      <c r="E129" s="1873"/>
      <c r="F129" s="1873"/>
      <c r="G129" s="1873"/>
      <c r="H129" s="1873"/>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7" t="s">
        <v>998</v>
      </c>
      <c r="E132" s="1867"/>
      <c r="F132" s="1867"/>
      <c r="G132" s="1867"/>
      <c r="H132" s="1867"/>
      <c r="I132" s="117"/>
      <c r="J132" s="1867" t="s">
        <v>999</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1002</v>
      </c>
      <c r="B139" s="1864"/>
      <c r="C139" s="1864"/>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E109" sqref="E10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2220000</v>
      </c>
      <c r="C4" s="362">
        <f>B4</f>
        <v>2220000</v>
      </c>
      <c r="D4" s="362"/>
      <c r="E4" s="363"/>
      <c r="F4" s="363"/>
      <c r="G4" s="363"/>
      <c r="H4" s="363"/>
      <c r="I4" s="363"/>
      <c r="J4" s="363"/>
      <c r="K4" s="359"/>
    </row>
    <row r="5" spans="1:11" s="360" customFormat="1">
      <c r="A5" s="364" t="s">
        <v>28</v>
      </c>
      <c r="B5" s="361">
        <f>'Sources and Uses Budget'!C5</f>
        <v>0</v>
      </c>
      <c r="C5" s="362">
        <f t="shared" ref="C5:C10" si="0">B5</f>
        <v>0</v>
      </c>
      <c r="D5" s="362"/>
      <c r="E5" s="363"/>
      <c r="F5" s="363"/>
      <c r="G5" s="363"/>
      <c r="H5" s="363"/>
      <c r="I5" s="363"/>
      <c r="J5" s="363"/>
      <c r="K5" s="359"/>
    </row>
    <row r="6" spans="1:11" s="360" customFormat="1">
      <c r="A6" s="364" t="s">
        <v>29</v>
      </c>
      <c r="B6" s="361">
        <f>'Sources and Uses Budget'!C6</f>
        <v>53325</v>
      </c>
      <c r="C6" s="362">
        <f t="shared" si="0"/>
        <v>53325</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2273325</v>
      </c>
      <c r="C8" s="361">
        <f>SUM(C4:C7)</f>
        <v>2273325</v>
      </c>
      <c r="D8" s="361">
        <f>SUM(D4:D7)</f>
        <v>0</v>
      </c>
      <c r="E8" s="363"/>
      <c r="F8" s="363"/>
      <c r="G8" s="363"/>
      <c r="H8" s="363"/>
      <c r="I8" s="363"/>
      <c r="J8" s="363"/>
      <c r="K8" s="359"/>
    </row>
    <row r="9" spans="1:11" s="360" customFormat="1">
      <c r="A9" s="364" t="s">
        <v>593</v>
      </c>
      <c r="B9" s="361">
        <f>'Sources and Uses Budget'!C9</f>
        <v>150000</v>
      </c>
      <c r="C9" s="362">
        <f t="shared" si="0"/>
        <v>150000</v>
      </c>
      <c r="D9" s="362"/>
      <c r="E9" s="363"/>
      <c r="F9" s="363"/>
      <c r="G9" s="363"/>
      <c r="H9" s="361">
        <f>'Sources and Uses Budget'!T9</f>
        <v>0</v>
      </c>
      <c r="I9" s="362"/>
      <c r="J9" s="362"/>
      <c r="K9" s="359"/>
    </row>
    <row r="10" spans="1:11" s="360" customFormat="1">
      <c r="A10" s="364" t="s">
        <v>594</v>
      </c>
      <c r="B10" s="361">
        <f>'Sources and Uses Budget'!C10</f>
        <v>0</v>
      </c>
      <c r="C10" s="362">
        <f t="shared" si="0"/>
        <v>0</v>
      </c>
      <c r="D10" s="362"/>
      <c r="E10" s="361">
        <f>'Sources and Uses Budget'!S10</f>
        <v>0</v>
      </c>
      <c r="F10" s="362">
        <f>E10</f>
        <v>0</v>
      </c>
      <c r="G10" s="362"/>
      <c r="H10" s="361">
        <f>'Sources and Uses Budget'!T10</f>
        <v>0</v>
      </c>
      <c r="I10" s="362"/>
      <c r="J10" s="362"/>
      <c r="K10" s="359"/>
    </row>
    <row r="11" spans="1:11" s="360" customFormat="1">
      <c r="A11" s="365" t="s">
        <v>595</v>
      </c>
      <c r="B11" s="361">
        <f>'Sources and Uses Budget'!C11</f>
        <v>150000</v>
      </c>
      <c r="C11" s="361">
        <f>SUM(C9:C10)</f>
        <v>150000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2423325</v>
      </c>
      <c r="C12" s="361">
        <f>SUM(C8+C11)</f>
        <v>2423325</v>
      </c>
      <c r="D12" s="361">
        <f>SUM(D8+D11)</f>
        <v>0</v>
      </c>
      <c r="E12" s="363"/>
      <c r="F12" s="363"/>
      <c r="G12" s="363"/>
      <c r="H12" s="363"/>
      <c r="I12" s="363"/>
      <c r="J12" s="363"/>
      <c r="K12" s="359"/>
    </row>
    <row r="13" spans="1:11" s="360" customFormat="1">
      <c r="A13" s="366" t="s">
        <v>901</v>
      </c>
      <c r="B13" s="361">
        <f>'Sources and Uses Budget'!C13</f>
        <v>158400</v>
      </c>
      <c r="C13" s="362">
        <f t="shared" ref="C13:C15" si="1">B13</f>
        <v>158400</v>
      </c>
      <c r="D13" s="362"/>
      <c r="E13" s="361">
        <f>'Sources and Uses Budget'!S13</f>
        <v>158400</v>
      </c>
      <c r="F13" s="362">
        <f t="shared" ref="F13:F14" si="2">E13</f>
        <v>158400</v>
      </c>
      <c r="G13" s="362"/>
      <c r="H13" s="361">
        <f>'Sources and Uses Budget'!T13</f>
        <v>0</v>
      </c>
      <c r="I13" s="362"/>
      <c r="J13" s="362"/>
      <c r="K13" s="359"/>
    </row>
    <row r="14" spans="1:11" s="360" customFormat="1" ht="24">
      <c r="A14" s="364" t="s">
        <v>902</v>
      </c>
      <c r="B14" s="361">
        <f>'Sources and Uses Budget'!C14</f>
        <v>0</v>
      </c>
      <c r="C14" s="362">
        <f t="shared" si="1"/>
        <v>0</v>
      </c>
      <c r="D14" s="362"/>
      <c r="E14" s="361">
        <f>'Sources and Uses Budget'!S14</f>
        <v>0</v>
      </c>
      <c r="F14" s="362">
        <f t="shared" si="2"/>
        <v>0</v>
      </c>
      <c r="G14" s="362"/>
      <c r="H14" s="361">
        <f>'Sources and Uses Budget'!T14</f>
        <v>0</v>
      </c>
      <c r="I14" s="362"/>
      <c r="J14" s="362"/>
      <c r="K14" s="359"/>
    </row>
    <row r="15" spans="1:11" s="360" customFormat="1">
      <c r="A15" s="364" t="s">
        <v>1159</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3">B17</f>
        <v>0</v>
      </c>
      <c r="D17" s="362"/>
      <c r="E17" s="361">
        <f>'Sources and Uses Budget'!S17</f>
        <v>0</v>
      </c>
      <c r="F17" s="362">
        <f t="shared" ref="F17:F25" si="4">E17</f>
        <v>0</v>
      </c>
      <c r="G17" s="362"/>
      <c r="H17" s="361">
        <f>'Sources and Uses Budget'!T17</f>
        <v>0</v>
      </c>
      <c r="I17" s="362"/>
      <c r="J17" s="362"/>
      <c r="K17" s="359"/>
    </row>
    <row r="18" spans="1:11" s="360" customFormat="1">
      <c r="A18" s="364" t="s">
        <v>598</v>
      </c>
      <c r="B18" s="361">
        <f>'Sources and Uses Budget'!C18</f>
        <v>0</v>
      </c>
      <c r="C18" s="362">
        <f t="shared" si="3"/>
        <v>0</v>
      </c>
      <c r="D18" s="362"/>
      <c r="E18" s="361">
        <f>'Sources and Uses Budget'!S18</f>
        <v>0</v>
      </c>
      <c r="F18" s="362">
        <f t="shared" si="4"/>
        <v>0</v>
      </c>
      <c r="G18" s="362"/>
      <c r="H18" s="361">
        <f>'Sources and Uses Budget'!T18</f>
        <v>0</v>
      </c>
      <c r="I18" s="362"/>
      <c r="J18" s="362"/>
      <c r="K18" s="359"/>
    </row>
    <row r="19" spans="1:11" s="360" customFormat="1">
      <c r="A19" s="364" t="s">
        <v>599</v>
      </c>
      <c r="B19" s="361">
        <f>'Sources and Uses Budget'!C19</f>
        <v>0</v>
      </c>
      <c r="C19" s="362">
        <f t="shared" si="3"/>
        <v>0</v>
      </c>
      <c r="D19" s="362"/>
      <c r="E19" s="361">
        <f>'Sources and Uses Budget'!S19</f>
        <v>0</v>
      </c>
      <c r="F19" s="362">
        <f t="shared" si="4"/>
        <v>0</v>
      </c>
      <c r="G19" s="362"/>
      <c r="H19" s="361">
        <f>'Sources and Uses Budget'!T19</f>
        <v>0</v>
      </c>
      <c r="I19" s="362"/>
      <c r="J19" s="362"/>
      <c r="K19" s="359"/>
    </row>
    <row r="20" spans="1:11" s="360" customFormat="1">
      <c r="A20" s="364" t="s">
        <v>137</v>
      </c>
      <c r="B20" s="361">
        <f>'Sources and Uses Budget'!C20</f>
        <v>0</v>
      </c>
      <c r="C20" s="362">
        <f t="shared" si="3"/>
        <v>0</v>
      </c>
      <c r="D20" s="362"/>
      <c r="E20" s="361">
        <f>'Sources and Uses Budget'!S20</f>
        <v>0</v>
      </c>
      <c r="F20" s="362">
        <f t="shared" si="4"/>
        <v>0</v>
      </c>
      <c r="G20" s="362"/>
      <c r="H20" s="361">
        <f>'Sources and Uses Budget'!T20</f>
        <v>0</v>
      </c>
      <c r="I20" s="362"/>
      <c r="J20" s="362"/>
      <c r="K20" s="359"/>
    </row>
    <row r="21" spans="1:11" s="360" customFormat="1">
      <c r="A21" s="364" t="s">
        <v>138</v>
      </c>
      <c r="B21" s="361">
        <f>'Sources and Uses Budget'!C21</f>
        <v>0</v>
      </c>
      <c r="C21" s="362">
        <f t="shared" si="3"/>
        <v>0</v>
      </c>
      <c r="D21" s="362"/>
      <c r="E21" s="361">
        <f>'Sources and Uses Budget'!S21</f>
        <v>0</v>
      </c>
      <c r="F21" s="362">
        <f t="shared" si="4"/>
        <v>0</v>
      </c>
      <c r="G21" s="362"/>
      <c r="H21" s="361">
        <f>'Sources and Uses Budget'!T21</f>
        <v>0</v>
      </c>
      <c r="I21" s="362"/>
      <c r="J21" s="362"/>
      <c r="K21" s="359"/>
    </row>
    <row r="22" spans="1:11" s="360" customFormat="1">
      <c r="A22" s="364" t="s">
        <v>139</v>
      </c>
      <c r="B22" s="361">
        <f>'Sources and Uses Budget'!C22</f>
        <v>0</v>
      </c>
      <c r="C22" s="362">
        <f t="shared" si="3"/>
        <v>0</v>
      </c>
      <c r="D22" s="362"/>
      <c r="E22" s="361">
        <f>'Sources and Uses Budget'!S22</f>
        <v>0</v>
      </c>
      <c r="F22" s="362">
        <f t="shared" si="4"/>
        <v>0</v>
      </c>
      <c r="G22" s="362"/>
      <c r="H22" s="361">
        <f>'Sources and Uses Budget'!T22</f>
        <v>0</v>
      </c>
      <c r="I22" s="362"/>
      <c r="J22" s="362"/>
      <c r="K22" s="359"/>
    </row>
    <row r="23" spans="1:11" s="360" customFormat="1">
      <c r="A23" s="364" t="s">
        <v>140</v>
      </c>
      <c r="B23" s="361">
        <f>'Sources and Uses Budget'!C23</f>
        <v>0</v>
      </c>
      <c r="C23" s="362">
        <f t="shared" si="3"/>
        <v>0</v>
      </c>
      <c r="D23" s="362"/>
      <c r="E23" s="361">
        <f>'Sources and Uses Budget'!S23</f>
        <v>0</v>
      </c>
      <c r="F23" s="362">
        <f t="shared" si="4"/>
        <v>0</v>
      </c>
      <c r="G23" s="362"/>
      <c r="H23" s="361">
        <f>'Sources and Uses Budget'!T23</f>
        <v>0</v>
      </c>
      <c r="I23" s="362"/>
      <c r="J23" s="362"/>
      <c r="K23" s="359"/>
    </row>
    <row r="24" spans="1:11" s="360" customFormat="1">
      <c r="A24" s="508" t="s">
        <v>1638</v>
      </c>
      <c r="B24" s="361">
        <f>'Sources and Uses Budget'!C24</f>
        <v>0</v>
      </c>
      <c r="C24" s="362">
        <f t="shared" si="3"/>
        <v>0</v>
      </c>
      <c r="D24" s="362"/>
      <c r="E24" s="361">
        <f>'Sources and Uses Budget'!S24</f>
        <v>0</v>
      </c>
      <c r="F24" s="362">
        <f t="shared" si="4"/>
        <v>0</v>
      </c>
      <c r="G24" s="362"/>
      <c r="H24" s="361">
        <f>'Sources and Uses Budget'!T24</f>
        <v>0</v>
      </c>
      <c r="I24" s="362"/>
      <c r="J24" s="362"/>
      <c r="K24" s="359"/>
    </row>
    <row r="25" spans="1:11" s="360" customFormat="1">
      <c r="A25" s="364" t="str">
        <f>'Sources and Uses Budget'!$A25</f>
        <v>Other: (Specify)</v>
      </c>
      <c r="B25" s="361">
        <f>'Sources and Uses Budget'!C25</f>
        <v>0</v>
      </c>
      <c r="C25" s="362">
        <f t="shared" si="3"/>
        <v>0</v>
      </c>
      <c r="D25" s="362"/>
      <c r="E25" s="361">
        <f>'Sources and Uses Budget'!S25</f>
        <v>0</v>
      </c>
      <c r="F25" s="362">
        <f t="shared" si="4"/>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 t="shared" ref="C27" si="5">B27</f>
        <v>0</v>
      </c>
      <c r="D27" s="362"/>
      <c r="E27" s="361">
        <f>'Sources and Uses Budget'!S27</f>
        <v>0</v>
      </c>
      <c r="F27" s="362">
        <f>E27</f>
        <v>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136641</v>
      </c>
      <c r="C29" s="362">
        <f t="shared" ref="C29:C37" si="6">B29</f>
        <v>136641</v>
      </c>
      <c r="D29" s="362"/>
      <c r="E29" s="361">
        <f>'Sources and Uses Budget'!S29</f>
        <v>0</v>
      </c>
      <c r="F29" s="362">
        <f t="shared" ref="F29:F37" si="7">E29</f>
        <v>0</v>
      </c>
      <c r="G29" s="362"/>
      <c r="H29" s="361">
        <f>'Sources and Uses Budget'!T29</f>
        <v>0</v>
      </c>
      <c r="I29" s="362"/>
      <c r="J29" s="362"/>
      <c r="K29" s="359"/>
    </row>
    <row r="30" spans="1:11" s="360" customFormat="1">
      <c r="A30" s="145" t="s">
        <v>598</v>
      </c>
      <c r="B30" s="361">
        <f>'Sources and Uses Budget'!C30</f>
        <v>61718083</v>
      </c>
      <c r="C30" s="362">
        <f t="shared" si="6"/>
        <v>61718083</v>
      </c>
      <c r="D30" s="362"/>
      <c r="E30" s="361">
        <f>'Sources and Uses Budget'!S30</f>
        <v>61718083</v>
      </c>
      <c r="F30" s="362">
        <f t="shared" si="7"/>
        <v>61718083</v>
      </c>
      <c r="G30" s="362"/>
      <c r="H30" s="361">
        <f>'Sources and Uses Budget'!T30</f>
        <v>0</v>
      </c>
      <c r="I30" s="362"/>
      <c r="J30" s="362"/>
      <c r="K30" s="359"/>
    </row>
    <row r="31" spans="1:11" s="360" customFormat="1">
      <c r="A31" s="145" t="s">
        <v>599</v>
      </c>
      <c r="B31" s="361">
        <f>'Sources and Uses Budget'!C31</f>
        <v>2084991</v>
      </c>
      <c r="C31" s="362">
        <f t="shared" si="6"/>
        <v>2084991</v>
      </c>
      <c r="D31" s="362"/>
      <c r="E31" s="361">
        <f>'Sources and Uses Budget'!S31</f>
        <v>2084991</v>
      </c>
      <c r="F31" s="362">
        <f t="shared" si="7"/>
        <v>2084991</v>
      </c>
      <c r="G31" s="362"/>
      <c r="H31" s="361">
        <f>'Sources and Uses Budget'!T31</f>
        <v>0</v>
      </c>
      <c r="I31" s="362"/>
      <c r="J31" s="362"/>
      <c r="K31" s="359"/>
    </row>
    <row r="32" spans="1:11" s="360" customFormat="1">
      <c r="A32" s="145" t="s">
        <v>137</v>
      </c>
      <c r="B32" s="361">
        <f>'Sources and Uses Budget'!C32</f>
        <v>2779988</v>
      </c>
      <c r="C32" s="362">
        <f t="shared" si="6"/>
        <v>2779988</v>
      </c>
      <c r="D32" s="362"/>
      <c r="E32" s="361">
        <f>'Sources and Uses Budget'!S32</f>
        <v>2779988</v>
      </c>
      <c r="F32" s="362">
        <f t="shared" si="7"/>
        <v>2779988</v>
      </c>
      <c r="G32" s="362"/>
      <c r="H32" s="361">
        <f>'Sources and Uses Budget'!T32</f>
        <v>0</v>
      </c>
      <c r="I32" s="362"/>
      <c r="J32" s="362"/>
      <c r="K32" s="359"/>
    </row>
    <row r="33" spans="1:11" s="360" customFormat="1">
      <c r="A33" s="145" t="s">
        <v>138</v>
      </c>
      <c r="B33" s="361">
        <f>'Sources and Uses Budget'!C33</f>
        <v>2779988</v>
      </c>
      <c r="C33" s="362">
        <f t="shared" si="6"/>
        <v>2779988</v>
      </c>
      <c r="D33" s="362"/>
      <c r="E33" s="361">
        <f>'Sources and Uses Budget'!S33</f>
        <v>2779988</v>
      </c>
      <c r="F33" s="362">
        <f t="shared" si="7"/>
        <v>2779988</v>
      </c>
      <c r="G33" s="362"/>
      <c r="H33" s="361">
        <f>'Sources and Uses Budget'!T33</f>
        <v>0</v>
      </c>
      <c r="I33" s="362"/>
      <c r="J33" s="362"/>
      <c r="K33" s="359"/>
    </row>
    <row r="34" spans="1:11" s="360" customFormat="1">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c r="A36" s="508" t="s">
        <v>1638</v>
      </c>
      <c r="B36" s="361">
        <f>'Sources and Uses Budget'!C36</f>
        <v>494000</v>
      </c>
      <c r="C36" s="362">
        <f t="shared" si="6"/>
        <v>494000</v>
      </c>
      <c r="D36" s="362"/>
      <c r="E36" s="361">
        <f>'Sources and Uses Budget'!S36</f>
        <v>494000</v>
      </c>
      <c r="F36" s="362">
        <f t="shared" si="7"/>
        <v>494000</v>
      </c>
      <c r="G36" s="362"/>
      <c r="H36" s="361">
        <f>'Sources and Uses Budget'!T36</f>
        <v>0</v>
      </c>
      <c r="I36" s="362"/>
      <c r="J36" s="362"/>
      <c r="K36" s="359"/>
    </row>
    <row r="37" spans="1:11" s="360" customFormat="1">
      <c r="A37" s="364" t="str">
        <f>'Sources and Uses Budget'!$A37</f>
        <v>Contractor Contigency</v>
      </c>
      <c r="B37" s="361">
        <f>'Sources and Uses Budget'!C37</f>
        <v>2430739</v>
      </c>
      <c r="C37" s="362">
        <f t="shared" si="6"/>
        <v>2430739</v>
      </c>
      <c r="D37" s="362"/>
      <c r="E37" s="361">
        <f>'Sources and Uses Budget'!S37</f>
        <v>2430739</v>
      </c>
      <c r="F37" s="362">
        <f t="shared" si="7"/>
        <v>2430739</v>
      </c>
      <c r="G37" s="362"/>
      <c r="H37" s="361">
        <f>'Sources and Uses Budget'!T37</f>
        <v>0</v>
      </c>
      <c r="I37" s="362"/>
      <c r="J37" s="362"/>
      <c r="K37" s="359"/>
    </row>
    <row r="38" spans="1:11" s="360" customFormat="1">
      <c r="A38" s="365" t="s">
        <v>143</v>
      </c>
      <c r="B38" s="361">
        <f>'Sources and Uses Budget'!C38</f>
        <v>72424430</v>
      </c>
      <c r="C38" s="361">
        <f>SUM(C29:C37)</f>
        <v>72424430</v>
      </c>
      <c r="D38" s="361">
        <f>SUM(D29:D37)</f>
        <v>0</v>
      </c>
      <c r="E38" s="361">
        <f>'Sources and Uses Budget'!S38</f>
        <v>72287789</v>
      </c>
      <c r="F38" s="367">
        <f>SUM(F29:F37)</f>
        <v>72287789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450000</v>
      </c>
      <c r="C40" s="362">
        <f t="shared" ref="C40:C41" si="8">B40</f>
        <v>450000</v>
      </c>
      <c r="D40" s="362"/>
      <c r="E40" s="361">
        <f>'Sources and Uses Budget'!S40</f>
        <v>450000</v>
      </c>
      <c r="F40" s="362">
        <f t="shared" ref="F40:F41" si="9">E40</f>
        <v>450000</v>
      </c>
      <c r="G40" s="362"/>
      <c r="H40" s="361">
        <f>'Sources and Uses Budget'!T40</f>
        <v>0</v>
      </c>
      <c r="I40" s="362"/>
      <c r="J40" s="362"/>
      <c r="K40" s="359"/>
    </row>
    <row r="41" spans="1:11" s="360" customFormat="1">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750000</v>
      </c>
      <c r="C42" s="361">
        <f>SUM(C39:C41)</f>
        <v>750000</v>
      </c>
      <c r="D42" s="361">
        <f>SUM(D39:D41)</f>
        <v>0</v>
      </c>
      <c r="E42" s="361">
        <f>'Sources and Uses Budget'!S42</f>
        <v>750000</v>
      </c>
      <c r="F42" s="367">
        <f>SUM(F40:F41)</f>
        <v>750000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f t="shared" ref="C43" si="10">B43</f>
        <v>1000000</v>
      </c>
      <c r="D43" s="362"/>
      <c r="E43" s="361">
        <f>'Sources and Uses Budget'!S43</f>
        <v>1000000</v>
      </c>
      <c r="F43" s="362">
        <f>E43</f>
        <v>1000000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6556864</v>
      </c>
      <c r="C45" s="362">
        <f t="shared" ref="C45:C53" si="11">B45</f>
        <v>6556864</v>
      </c>
      <c r="D45" s="362"/>
      <c r="E45" s="361">
        <f>'Sources and Uses Budget'!S45</f>
        <v>3931900</v>
      </c>
      <c r="F45" s="362">
        <f t="shared" ref="F45:F53" si="12">E45</f>
        <v>3931900</v>
      </c>
      <c r="G45" s="362"/>
      <c r="H45" s="361">
        <f>'Sources and Uses Budget'!T45</f>
        <v>0</v>
      </c>
      <c r="I45" s="362"/>
      <c r="J45" s="362"/>
      <c r="K45" s="359"/>
    </row>
    <row r="46" spans="1:11" s="360" customFormat="1">
      <c r="A46" s="364" t="s">
        <v>151</v>
      </c>
      <c r="B46" s="361">
        <f>'Sources and Uses Budget'!C46</f>
        <v>748060</v>
      </c>
      <c r="C46" s="362">
        <f t="shared" si="11"/>
        <v>748060</v>
      </c>
      <c r="D46" s="362"/>
      <c r="E46" s="361">
        <f>'Sources and Uses Budget'!S46</f>
        <v>748060</v>
      </c>
      <c r="F46" s="362">
        <f t="shared" si="12"/>
        <v>748060</v>
      </c>
      <c r="G46" s="362"/>
      <c r="H46" s="361">
        <f>'Sources and Uses Budget'!T46</f>
        <v>0</v>
      </c>
      <c r="I46" s="362"/>
      <c r="J46" s="362"/>
      <c r="K46" s="359"/>
    </row>
    <row r="47" spans="1:11" s="360" customFormat="1" ht="12" customHeight="1">
      <c r="A47" s="364" t="s">
        <v>152</v>
      </c>
      <c r="B47" s="361">
        <f>'Sources and Uses Budget'!C47</f>
        <v>7500</v>
      </c>
      <c r="C47" s="362">
        <f t="shared" si="11"/>
        <v>7500</v>
      </c>
      <c r="D47" s="362"/>
      <c r="E47" s="361">
        <f>'Sources and Uses Budget'!S47</f>
        <v>7500</v>
      </c>
      <c r="F47" s="362">
        <f t="shared" si="12"/>
        <v>7500</v>
      </c>
      <c r="G47" s="362"/>
      <c r="H47" s="361">
        <f>'Sources and Uses Budget'!T47</f>
        <v>0</v>
      </c>
      <c r="I47" s="362"/>
      <c r="J47" s="362"/>
      <c r="K47" s="359"/>
    </row>
    <row r="48" spans="1:11" s="360" customFormat="1">
      <c r="A48" s="364" t="s">
        <v>153</v>
      </c>
      <c r="B48" s="361">
        <f>'Sources and Uses Budget'!C48</f>
        <v>1078956</v>
      </c>
      <c r="C48" s="362">
        <f t="shared" si="11"/>
        <v>1078956</v>
      </c>
      <c r="D48" s="362"/>
      <c r="E48" s="361">
        <f>'Sources and Uses Budget'!S48</f>
        <v>1078956</v>
      </c>
      <c r="F48" s="362">
        <f t="shared" si="12"/>
        <v>1078956</v>
      </c>
      <c r="G48" s="362"/>
      <c r="H48" s="361">
        <f>'Sources and Uses Budget'!T48</f>
        <v>0</v>
      </c>
      <c r="I48" s="362"/>
      <c r="J48" s="362"/>
      <c r="K48" s="359"/>
    </row>
    <row r="49" spans="1:11" s="360" customFormat="1">
      <c r="A49" s="283" t="s">
        <v>57</v>
      </c>
      <c r="B49" s="361">
        <f>'Sources and Uses Budget'!C49</f>
        <v>57250</v>
      </c>
      <c r="C49" s="362">
        <f t="shared" si="11"/>
        <v>57250</v>
      </c>
      <c r="D49" s="362"/>
      <c r="E49" s="361">
        <f>'Sources and Uses Budget'!S49</f>
        <v>57250</v>
      </c>
      <c r="F49" s="362">
        <f t="shared" si="12"/>
        <v>57250</v>
      </c>
      <c r="G49" s="362"/>
      <c r="H49" s="361">
        <f>'Sources and Uses Budget'!T49</f>
        <v>0</v>
      </c>
      <c r="I49" s="362"/>
      <c r="J49" s="362"/>
      <c r="K49" s="359"/>
    </row>
    <row r="50" spans="1:11" s="360" customFormat="1">
      <c r="A50" s="364" t="s">
        <v>156</v>
      </c>
      <c r="B50" s="361">
        <f>'Sources and Uses Budget'!C50</f>
        <v>25000</v>
      </c>
      <c r="C50" s="362">
        <f t="shared" si="11"/>
        <v>25000</v>
      </c>
      <c r="D50" s="362"/>
      <c r="E50" s="361">
        <f>'Sources and Uses Budget'!S50</f>
        <v>25000</v>
      </c>
      <c r="F50" s="362">
        <f t="shared" si="12"/>
        <v>25000</v>
      </c>
      <c r="G50" s="362"/>
      <c r="H50" s="361">
        <f>'Sources and Uses Budget'!T50</f>
        <v>0</v>
      </c>
      <c r="I50" s="362"/>
      <c r="J50" s="362"/>
      <c r="K50" s="359"/>
    </row>
    <row r="51" spans="1:11" s="360" customFormat="1">
      <c r="A51" s="364" t="s">
        <v>154</v>
      </c>
      <c r="B51" s="361">
        <f>'Sources and Uses Budget'!C51</f>
        <v>344321</v>
      </c>
      <c r="C51" s="362">
        <f t="shared" si="11"/>
        <v>344321</v>
      </c>
      <c r="D51" s="362"/>
      <c r="E51" s="361">
        <f>'Sources and Uses Budget'!S51</f>
        <v>344321</v>
      </c>
      <c r="F51" s="362">
        <f t="shared" si="12"/>
        <v>344321</v>
      </c>
      <c r="G51" s="362"/>
      <c r="H51" s="361">
        <f>'Sources and Uses Budget'!T51</f>
        <v>0</v>
      </c>
      <c r="I51" s="362"/>
      <c r="J51" s="362"/>
      <c r="K51" s="359"/>
    </row>
    <row r="52" spans="1:11" s="360" customFormat="1">
      <c r="A52" s="364" t="s">
        <v>155</v>
      </c>
      <c r="B52" s="361">
        <f>'Sources and Uses Budget'!C52</f>
        <v>851309</v>
      </c>
      <c r="C52" s="362">
        <f t="shared" si="11"/>
        <v>851309</v>
      </c>
      <c r="D52" s="362"/>
      <c r="E52" s="361">
        <f>'Sources and Uses Budget'!S52</f>
        <v>851309</v>
      </c>
      <c r="F52" s="362">
        <f t="shared" si="12"/>
        <v>851309</v>
      </c>
      <c r="G52" s="362"/>
      <c r="H52" s="361">
        <f>'Sources and Uses Budget'!T52</f>
        <v>0</v>
      </c>
      <c r="I52" s="362"/>
      <c r="J52" s="362"/>
      <c r="K52" s="359"/>
    </row>
    <row r="53" spans="1:11" s="360" customFormat="1">
      <c r="A53" s="364" t="str">
        <f>'Sources and Uses Budget'!$A53</f>
        <v>Lender Inspections</v>
      </c>
      <c r="B53" s="361">
        <f>'Sources and Uses Budget'!C53</f>
        <v>30000</v>
      </c>
      <c r="C53" s="362">
        <f t="shared" si="11"/>
        <v>30000</v>
      </c>
      <c r="D53" s="362"/>
      <c r="E53" s="361">
        <f>'Sources and Uses Budget'!S53</f>
        <v>30000</v>
      </c>
      <c r="F53" s="362">
        <f t="shared" si="12"/>
        <v>30000</v>
      </c>
      <c r="G53" s="362"/>
      <c r="H53" s="361">
        <f>'Sources and Uses Budget'!T53</f>
        <v>0</v>
      </c>
      <c r="I53" s="362"/>
      <c r="J53" s="362"/>
      <c r="K53" s="359"/>
    </row>
    <row r="54" spans="1:11" s="369" customFormat="1">
      <c r="A54" s="365" t="s">
        <v>157</v>
      </c>
      <c r="B54" s="361">
        <f>'Sources and Uses Budget'!C54</f>
        <v>9699260</v>
      </c>
      <c r="C54" s="367">
        <f>SUM(C45:C53)</f>
        <v>9699260</v>
      </c>
      <c r="D54" s="367">
        <f>SUM(D45:D53)</f>
        <v>0</v>
      </c>
      <c r="E54" s="361">
        <f>'Sources and Uses Budget'!S54</f>
        <v>7074296</v>
      </c>
      <c r="F54" s="367">
        <f>SUM(F45:F53)</f>
        <v>7074296</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578164</v>
      </c>
      <c r="C56" s="362">
        <f t="shared" ref="C56:C61" si="13">B56</f>
        <v>578164</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c r="A58" s="364" t="s">
        <v>156</v>
      </c>
      <c r="B58" s="361">
        <f>'Sources and Uses Budget'!C58</f>
        <v>25000</v>
      </c>
      <c r="C58" s="362">
        <f t="shared" si="13"/>
        <v>25000</v>
      </c>
      <c r="D58" s="362"/>
      <c r="E58" s="363"/>
      <c r="F58" s="363"/>
      <c r="G58" s="363"/>
      <c r="H58" s="363"/>
      <c r="I58" s="363"/>
      <c r="J58" s="363"/>
      <c r="K58" s="359"/>
    </row>
    <row r="59" spans="1:11" s="360" customFormat="1">
      <c r="A59" s="364" t="s">
        <v>154</v>
      </c>
      <c r="B59" s="361">
        <f>'Sources and Uses Budget'!C59</f>
        <v>0</v>
      </c>
      <c r="C59" s="362">
        <f t="shared" si="13"/>
        <v>0</v>
      </c>
      <c r="D59" s="362"/>
      <c r="E59" s="363"/>
      <c r="F59" s="363"/>
      <c r="G59" s="363"/>
      <c r="H59" s="363"/>
      <c r="I59" s="363"/>
      <c r="J59" s="363"/>
      <c r="K59" s="359"/>
    </row>
    <row r="60" spans="1:11" s="360" customFormat="1">
      <c r="A60" s="364" t="s">
        <v>155</v>
      </c>
      <c r="B60" s="361">
        <f>'Sources and Uses Budget'!C60</f>
        <v>0</v>
      </c>
      <c r="C60" s="362">
        <f t="shared" si="13"/>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90000</v>
      </c>
      <c r="C61" s="362">
        <f t="shared" si="13"/>
        <v>90000</v>
      </c>
      <c r="D61" s="362"/>
      <c r="E61" s="363"/>
      <c r="F61" s="363"/>
      <c r="G61" s="363"/>
      <c r="H61" s="363"/>
      <c r="I61" s="363"/>
      <c r="J61" s="363"/>
      <c r="K61" s="359"/>
    </row>
    <row r="62" spans="1:11" s="360" customFormat="1" ht="13.7" customHeight="1">
      <c r="A62" s="365" t="s">
        <v>301</v>
      </c>
      <c r="B62" s="361">
        <f>'Sources and Uses Budget'!C62</f>
        <v>693164</v>
      </c>
      <c r="C62" s="361">
        <f>SUM(C56:C61)</f>
        <v>693164</v>
      </c>
      <c r="D62" s="361">
        <f>SUM(D56:D61)</f>
        <v>0</v>
      </c>
      <c r="E62" s="363"/>
      <c r="F62" s="363"/>
      <c r="G62" s="363"/>
      <c r="H62" s="363"/>
      <c r="I62" s="363"/>
      <c r="J62" s="363"/>
      <c r="K62" s="359"/>
    </row>
    <row r="63" spans="1:11" s="360" customFormat="1">
      <c r="A63" s="370" t="s">
        <v>302</v>
      </c>
      <c r="B63" s="361">
        <f>'Sources and Uses Budget'!C63</f>
        <v>87148579</v>
      </c>
      <c r="C63" s="361">
        <f>SUM(C8+C11+C13+C14+C15+C26+C27+C38+C42+C43+C54+C62)</f>
        <v>87148579</v>
      </c>
      <c r="D63" s="361">
        <f>SUM(D8+D11+D13+D14+D15+D26+D27+D38+D42+D43+D54+D62)</f>
        <v>0</v>
      </c>
      <c r="E63" s="361">
        <f>'Sources and Uses Budget'!S63</f>
        <v>81270485</v>
      </c>
      <c r="F63" s="361">
        <f>SUM(F10+F13+F14+F15+F26+F27+F38+F42+F43+F54)</f>
        <v>81270485</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125000</v>
      </c>
      <c r="C65" s="362">
        <f t="shared" ref="C65:C69" si="14">B65</f>
        <v>125000</v>
      </c>
      <c r="D65" s="362"/>
      <c r="E65" s="361">
        <f>'Sources and Uses Budget'!S65</f>
        <v>75000</v>
      </c>
      <c r="F65" s="362">
        <f t="shared" ref="F65:F69" si="15">E65</f>
        <v>75000</v>
      </c>
      <c r="G65" s="362"/>
      <c r="H65" s="361">
        <f>'Sources and Uses Budget'!T65</f>
        <v>0</v>
      </c>
      <c r="I65" s="362"/>
      <c r="J65" s="362"/>
      <c r="K65" s="359"/>
    </row>
    <row r="66" spans="1:11" s="360" customFormat="1" ht="24">
      <c r="A66" s="283" t="s">
        <v>1639</v>
      </c>
      <c r="B66" s="361">
        <f>'Sources and Uses Budget'!C66</f>
        <v>15000</v>
      </c>
      <c r="C66" s="362">
        <f t="shared" si="14"/>
        <v>15000</v>
      </c>
      <c r="D66" s="362"/>
      <c r="E66" s="361">
        <f>'Sources and Uses Budget'!S66</f>
        <v>15000</v>
      </c>
      <c r="F66" s="362">
        <f t="shared" si="15"/>
        <v>15000</v>
      </c>
      <c r="G66" s="362"/>
      <c r="H66" s="361">
        <f>'Sources and Uses Budget'!T66</f>
        <v>0</v>
      </c>
      <c r="I66" s="362"/>
      <c r="J66" s="362"/>
      <c r="K66" s="359"/>
    </row>
    <row r="67" spans="1:11" s="360" customFormat="1" ht="24">
      <c r="A67" s="283" t="s">
        <v>1640</v>
      </c>
      <c r="B67" s="361">
        <f>'Sources and Uses Budget'!C67</f>
        <v>240000</v>
      </c>
      <c r="C67" s="362">
        <f t="shared" si="14"/>
        <v>240000</v>
      </c>
      <c r="D67" s="362"/>
      <c r="E67" s="361">
        <f>'Sources and Uses Budget'!S67</f>
        <v>240000</v>
      </c>
      <c r="F67" s="362">
        <f t="shared" si="15"/>
        <v>240000</v>
      </c>
      <c r="G67" s="362"/>
      <c r="H67" s="361">
        <f>'Sources and Uses Budget'!T67</f>
        <v>0</v>
      </c>
      <c r="I67" s="362"/>
      <c r="J67" s="362"/>
      <c r="K67" s="359"/>
    </row>
    <row r="68" spans="1:11" s="360" customFormat="1">
      <c r="A68" s="283" t="s">
        <v>1646</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165000</v>
      </c>
      <c r="C69" s="362">
        <f t="shared" si="14"/>
        <v>165000</v>
      </c>
      <c r="D69" s="362"/>
      <c r="E69" s="361">
        <f>'Sources and Uses Budget'!S69</f>
        <v>165000</v>
      </c>
      <c r="F69" s="362">
        <f t="shared" si="15"/>
        <v>165000</v>
      </c>
      <c r="G69" s="362"/>
      <c r="H69" s="361">
        <f>'Sources and Uses Budget'!T69</f>
        <v>0</v>
      </c>
      <c r="I69" s="362"/>
      <c r="J69" s="362"/>
      <c r="K69" s="359"/>
    </row>
    <row r="70" spans="1:11" s="360" customFormat="1">
      <c r="A70" s="365" t="s">
        <v>600</v>
      </c>
      <c r="B70" s="361">
        <f>'Sources and Uses Budget'!C70</f>
        <v>545000</v>
      </c>
      <c r="C70" s="361">
        <f>SUM(C64:C69)</f>
        <v>545000</v>
      </c>
      <c r="D70" s="361">
        <f>SUM(D64:D69)</f>
        <v>0</v>
      </c>
      <c r="E70" s="361">
        <f>'Sources and Uses Budget'!S70</f>
        <v>495000</v>
      </c>
      <c r="F70" s="367">
        <f>SUM(F65:F69)</f>
        <v>495000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16">B72</f>
        <v>0</v>
      </c>
      <c r="D72" s="362"/>
      <c r="E72" s="363"/>
      <c r="F72" s="363"/>
      <c r="G72" s="363"/>
      <c r="H72" s="363"/>
      <c r="I72" s="363"/>
      <c r="J72" s="363"/>
      <c r="K72" s="359"/>
    </row>
    <row r="73" spans="1:11" s="360" customFormat="1">
      <c r="A73" s="364" t="s">
        <v>603</v>
      </c>
      <c r="B73" s="361">
        <f>'Sources and Uses Budget'!C73</f>
        <v>0</v>
      </c>
      <c r="C73" s="362">
        <f t="shared" si="16"/>
        <v>0</v>
      </c>
      <c r="D73" s="362"/>
      <c r="E73" s="363"/>
      <c r="F73" s="363"/>
      <c r="G73" s="363"/>
      <c r="H73" s="363"/>
      <c r="I73" s="363"/>
      <c r="J73" s="363"/>
      <c r="K73" s="359"/>
    </row>
    <row r="74" spans="1:11" s="360" customFormat="1">
      <c r="A74" s="366" t="s">
        <v>984</v>
      </c>
      <c r="B74" s="361">
        <f>'Sources and Uses Budget'!C74</f>
        <v>0</v>
      </c>
      <c r="C74" s="362">
        <f t="shared" si="16"/>
        <v>0</v>
      </c>
      <c r="D74" s="362"/>
      <c r="E74" s="363"/>
      <c r="F74" s="363"/>
      <c r="G74" s="363"/>
      <c r="H74" s="363"/>
      <c r="I74" s="363"/>
      <c r="J74" s="363"/>
      <c r="K74" s="359"/>
    </row>
    <row r="75" spans="1:11" s="360" customFormat="1">
      <c r="A75" s="364" t="s">
        <v>604</v>
      </c>
      <c r="B75" s="361">
        <f>'Sources and Uses Budget'!C75</f>
        <v>1463678</v>
      </c>
      <c r="C75" s="362">
        <f t="shared" si="16"/>
        <v>1463678</v>
      </c>
      <c r="D75" s="362"/>
      <c r="E75" s="363"/>
      <c r="F75" s="363"/>
      <c r="G75" s="363"/>
      <c r="H75" s="363"/>
      <c r="I75" s="363"/>
      <c r="J75" s="363"/>
      <c r="K75" s="359"/>
    </row>
    <row r="76" spans="1:11" s="360" customFormat="1">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605</v>
      </c>
      <c r="B77" s="361">
        <f>'Sources and Uses Budget'!C77</f>
        <v>1463678</v>
      </c>
      <c r="C77" s="361">
        <f>SUM(C72:C76)</f>
        <v>1463678</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3693035</v>
      </c>
      <c r="C79" s="362">
        <f t="shared" ref="C79:C80" si="17">B79</f>
        <v>3693035</v>
      </c>
      <c r="D79" s="362"/>
      <c r="E79" s="361">
        <f>'Sources and Uses Budget'!S79</f>
        <v>3693035</v>
      </c>
      <c r="F79" s="362">
        <f t="shared" ref="F79:F80" si="18">E79</f>
        <v>3693035</v>
      </c>
      <c r="G79" s="362"/>
      <c r="H79" s="361">
        <f>'Sources and Uses Budget'!T79</f>
        <v>0</v>
      </c>
      <c r="I79" s="362"/>
      <c r="J79" s="362"/>
      <c r="K79" s="359"/>
    </row>
    <row r="80" spans="1:11" s="360" customFormat="1">
      <c r="A80" s="364" t="s">
        <v>58</v>
      </c>
      <c r="B80" s="361">
        <f>'Sources and Uses Budget'!C80</f>
        <v>313842</v>
      </c>
      <c r="C80" s="362">
        <f t="shared" si="17"/>
        <v>313842</v>
      </c>
      <c r="D80" s="362"/>
      <c r="E80" s="361">
        <f>'Sources and Uses Budget'!S80</f>
        <v>313842</v>
      </c>
      <c r="F80" s="362">
        <f t="shared" si="18"/>
        <v>313842</v>
      </c>
      <c r="G80" s="362"/>
      <c r="H80" s="361">
        <f>'Sources and Uses Budget'!T80</f>
        <v>0</v>
      </c>
      <c r="I80" s="362"/>
      <c r="J80" s="362"/>
      <c r="K80" s="359"/>
    </row>
    <row r="81" spans="1:11" s="360" customFormat="1">
      <c r="A81" s="365" t="s">
        <v>1207</v>
      </c>
      <c r="B81" s="361">
        <f>'Sources and Uses Budget'!C81</f>
        <v>4006877</v>
      </c>
      <c r="C81" s="361">
        <f>SUM(C79:C80)</f>
        <v>4006877</v>
      </c>
      <c r="D81" s="361">
        <f>SUM(D79:D80)</f>
        <v>0</v>
      </c>
      <c r="E81" s="361">
        <f>'Sources and Uses Budget'!S81</f>
        <v>4006877</v>
      </c>
      <c r="F81" s="361">
        <f>SUM(F79:F80)</f>
        <v>4006877</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2092</v>
      </c>
      <c r="B83" s="361">
        <f>'Sources and Uses Budget'!C83</f>
        <v>239400</v>
      </c>
      <c r="C83" s="362">
        <f t="shared" ref="C83:C95" si="19">B83</f>
        <v>239400</v>
      </c>
      <c r="D83" s="362"/>
      <c r="E83" s="363"/>
      <c r="F83" s="363"/>
      <c r="G83" s="363"/>
      <c r="H83" s="363"/>
      <c r="I83" s="363"/>
      <c r="J83" s="363"/>
      <c r="K83" s="359"/>
    </row>
    <row r="84" spans="1:11" s="360" customFormat="1">
      <c r="A84" s="145" t="s">
        <v>766</v>
      </c>
      <c r="B84" s="361">
        <f>'Sources and Uses Budget'!C84</f>
        <v>25000</v>
      </c>
      <c r="C84" s="362">
        <f t="shared" si="19"/>
        <v>25000</v>
      </c>
      <c r="D84" s="362"/>
      <c r="E84" s="361">
        <f>'Sources and Uses Budget'!S84</f>
        <v>25000</v>
      </c>
      <c r="F84" s="362">
        <f t="shared" ref="F84:F87" si="20">E84</f>
        <v>25000</v>
      </c>
      <c r="G84" s="362"/>
      <c r="H84" s="361">
        <f>'Sources and Uses Budget'!T84</f>
        <v>0</v>
      </c>
      <c r="I84" s="362"/>
      <c r="J84" s="362"/>
      <c r="K84" s="359"/>
    </row>
    <row r="85" spans="1:11" s="360" customFormat="1">
      <c r="A85" s="145" t="s">
        <v>767</v>
      </c>
      <c r="B85" s="361">
        <f>'Sources and Uses Budget'!C85</f>
        <v>692000</v>
      </c>
      <c r="C85" s="362">
        <f t="shared" si="19"/>
        <v>692000</v>
      </c>
      <c r="D85" s="362"/>
      <c r="E85" s="361">
        <f>'Sources and Uses Budget'!S85</f>
        <v>692000</v>
      </c>
      <c r="F85" s="362">
        <f t="shared" si="20"/>
        <v>692000</v>
      </c>
      <c r="G85" s="362"/>
      <c r="H85" s="361">
        <f>'Sources and Uses Budget'!T85</f>
        <v>0</v>
      </c>
      <c r="I85" s="362"/>
      <c r="J85" s="362"/>
      <c r="K85" s="359"/>
    </row>
    <row r="86" spans="1:11" s="360" customFormat="1">
      <c r="A86" s="145" t="s">
        <v>768</v>
      </c>
      <c r="B86" s="361">
        <f>'Sources and Uses Budget'!C86</f>
        <v>2422000</v>
      </c>
      <c r="C86" s="362">
        <f t="shared" si="19"/>
        <v>2422000</v>
      </c>
      <c r="D86" s="362"/>
      <c r="E86" s="361">
        <f>'Sources and Uses Budget'!S86</f>
        <v>2422000</v>
      </c>
      <c r="F86" s="362">
        <f t="shared" si="20"/>
        <v>2422000</v>
      </c>
      <c r="G86" s="362"/>
      <c r="H86" s="361">
        <f>'Sources and Uses Budget'!T86</f>
        <v>0</v>
      </c>
      <c r="I86" s="362"/>
      <c r="J86" s="362"/>
      <c r="K86" s="359"/>
    </row>
    <row r="87" spans="1:11" s="360" customFormat="1">
      <c r="A87" s="145" t="s">
        <v>769</v>
      </c>
      <c r="B87" s="361">
        <f>'Sources and Uses Budget'!C87</f>
        <v>2076000</v>
      </c>
      <c r="C87" s="362">
        <f t="shared" si="19"/>
        <v>2076000</v>
      </c>
      <c r="D87" s="362"/>
      <c r="E87" s="361">
        <f>'Sources and Uses Budget'!S87</f>
        <v>2076000</v>
      </c>
      <c r="F87" s="362">
        <f t="shared" si="20"/>
        <v>2076000</v>
      </c>
      <c r="G87" s="362"/>
      <c r="H87" s="361">
        <f>'Sources and Uses Budget'!T87</f>
        <v>0</v>
      </c>
      <c r="I87" s="362"/>
      <c r="J87" s="362"/>
      <c r="K87" s="359"/>
    </row>
    <row r="88" spans="1:11" s="360" customFormat="1">
      <c r="A88" s="145" t="s">
        <v>770</v>
      </c>
      <c r="B88" s="361">
        <f>'Sources and Uses Budget'!C88</f>
        <v>467100</v>
      </c>
      <c r="C88" s="362">
        <f t="shared" si="19"/>
        <v>467100</v>
      </c>
      <c r="D88" s="362"/>
      <c r="E88" s="363"/>
      <c r="F88" s="363"/>
      <c r="G88" s="363"/>
      <c r="H88" s="363"/>
      <c r="I88" s="363"/>
      <c r="J88" s="363"/>
      <c r="K88" s="359"/>
    </row>
    <row r="89" spans="1:11" s="360" customFormat="1">
      <c r="A89" s="145" t="s">
        <v>771</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c r="A90" s="145" t="s">
        <v>772</v>
      </c>
      <c r="B90" s="361">
        <f>'Sources and Uses Budget'!C90</f>
        <v>10000</v>
      </c>
      <c r="C90" s="362">
        <f t="shared" si="19"/>
        <v>10000</v>
      </c>
      <c r="D90" s="362"/>
      <c r="E90" s="361">
        <f>'Sources and Uses Budget'!S90</f>
        <v>10000</v>
      </c>
      <c r="F90" s="362">
        <f t="shared" si="21"/>
        <v>10000</v>
      </c>
      <c r="G90" s="362"/>
      <c r="H90" s="361">
        <f>'Sources and Uses Budget'!T90</f>
        <v>0</v>
      </c>
      <c r="I90" s="362"/>
      <c r="J90" s="362"/>
      <c r="K90" s="359"/>
    </row>
    <row r="91" spans="1:11" s="360" customFormat="1">
      <c r="A91" s="155" t="s">
        <v>371</v>
      </c>
      <c r="B91" s="361">
        <f>'Sources and Uses Budget'!C91</f>
        <v>65000</v>
      </c>
      <c r="C91" s="362">
        <f t="shared" si="19"/>
        <v>65000</v>
      </c>
      <c r="D91" s="362"/>
      <c r="E91" s="361">
        <f>'Sources and Uses Budget'!S91</f>
        <v>0</v>
      </c>
      <c r="F91" s="362">
        <f t="shared" si="21"/>
        <v>0</v>
      </c>
      <c r="G91" s="362"/>
      <c r="H91" s="361">
        <f>'Sources and Uses Budget'!T91</f>
        <v>0</v>
      </c>
      <c r="I91" s="362"/>
      <c r="J91" s="362"/>
      <c r="K91" s="359"/>
    </row>
    <row r="92" spans="1:11" s="360" customFormat="1">
      <c r="A92" s="508" t="s">
        <v>1209</v>
      </c>
      <c r="B92" s="361">
        <f>'Sources and Uses Budget'!C92</f>
        <v>10000</v>
      </c>
      <c r="C92" s="362">
        <f t="shared" si="19"/>
        <v>10000</v>
      </c>
      <c r="D92" s="362"/>
      <c r="E92" s="361">
        <f>'Sources and Uses Budget'!S92</f>
        <v>10000</v>
      </c>
      <c r="F92" s="362">
        <f t="shared" si="21"/>
        <v>10000</v>
      </c>
      <c r="G92" s="362"/>
      <c r="H92" s="361">
        <f>'Sources and Uses Budget'!T92</f>
        <v>0</v>
      </c>
      <c r="I92" s="362"/>
      <c r="J92" s="362"/>
      <c r="K92" s="359"/>
    </row>
    <row r="93" spans="1:11" s="360" customFormat="1">
      <c r="A93" s="364" t="str">
        <f>'Sources and Uses Budget'!$A93</f>
        <v>Other: (Specify)</v>
      </c>
      <c r="B93" s="361">
        <f>'Sources and Uses Budget'!C93</f>
        <v>0</v>
      </c>
      <c r="C93" s="362">
        <f t="shared" si="19"/>
        <v>0</v>
      </c>
      <c r="D93" s="362"/>
      <c r="E93" s="361">
        <f>'Sources and Uses Budget'!S93</f>
        <v>0</v>
      </c>
      <c r="F93" s="362">
        <f t="shared" si="21"/>
        <v>0</v>
      </c>
      <c r="G93" s="362"/>
      <c r="H93" s="361">
        <f>'Sources and Uses Budget'!T93</f>
        <v>0</v>
      </c>
      <c r="I93" s="362"/>
      <c r="J93" s="362"/>
      <c r="K93" s="359"/>
    </row>
    <row r="94" spans="1:11" s="360" customFormat="1">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773</v>
      </c>
      <c r="B96" s="361">
        <f>'Sources and Uses Budget'!C96</f>
        <v>6006500</v>
      </c>
      <c r="C96" s="361">
        <f>SUM(C83:C95)</f>
        <v>6006500</v>
      </c>
      <c r="D96" s="361">
        <f>SUM(D83:D95)</f>
        <v>0</v>
      </c>
      <c r="E96" s="361">
        <f>'Sources and Uses Budget'!S96</f>
        <v>5235000</v>
      </c>
      <c r="F96" s="367">
        <f>SUM(F84:F87,F89:F95)</f>
        <v>5235000</v>
      </c>
      <c r="G96" s="367">
        <f>SUM(G84:G87,G89:G95)</f>
        <v>0</v>
      </c>
      <c r="H96" s="361">
        <f>'Sources and Uses Budget'!T96</f>
        <v>0</v>
      </c>
      <c r="I96" s="361">
        <f>SUM(I84:I87,I89:I95)</f>
        <v>0</v>
      </c>
      <c r="J96" s="361">
        <f>SUM(J84:J87,J89:J95)</f>
        <v>0</v>
      </c>
      <c r="K96" s="359"/>
    </row>
    <row r="97" spans="1:11" s="360" customFormat="1">
      <c r="A97" s="365" t="s">
        <v>1027</v>
      </c>
      <c r="B97" s="361">
        <f>'Sources and Uses Budget'!C97</f>
        <v>99170634</v>
      </c>
      <c r="C97" s="361">
        <f>SUM(C63+C70+C77+C81+C96)</f>
        <v>99170634</v>
      </c>
      <c r="D97" s="361">
        <f>SUM(D63+D70+D77+D81+D96)</f>
        <v>0</v>
      </c>
      <c r="E97" s="361">
        <f>'Sources and Uses Budget'!S97</f>
        <v>91007362</v>
      </c>
      <c r="F97" s="367">
        <f>SUM(+F63+F70+F81+F96)</f>
        <v>91007362</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13651104</v>
      </c>
      <c r="C99" s="362">
        <f t="shared" ref="C99:C103" si="22">B99</f>
        <v>13651104</v>
      </c>
      <c r="D99" s="362"/>
      <c r="E99" s="361">
        <f>'Sources and Uses Budget'!S99</f>
        <v>13651104</v>
      </c>
      <c r="F99" s="362">
        <f t="shared" ref="F99:F103" si="23">E99</f>
        <v>13651104</v>
      </c>
      <c r="G99" s="362"/>
      <c r="H99" s="361">
        <f>'Sources and Uses Budget'!T99</f>
        <v>0</v>
      </c>
      <c r="I99" s="362"/>
      <c r="J99" s="362"/>
      <c r="K99" s="359"/>
    </row>
    <row r="100" spans="1:11" s="360" customFormat="1">
      <c r="A100" s="283" t="s">
        <v>1644</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c r="A101" s="145" t="s">
        <v>777</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1645</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778</v>
      </c>
      <c r="B104" s="361">
        <f>'Sources and Uses Budget'!C104</f>
        <v>13651104</v>
      </c>
      <c r="C104" s="361">
        <f>SUM(C99:C103)</f>
        <v>13651104</v>
      </c>
      <c r="D104" s="361">
        <f>SUM(D99:D103)</f>
        <v>0</v>
      </c>
      <c r="E104" s="361">
        <f>'Sources and Uses Budget'!S104</f>
        <v>13651104</v>
      </c>
      <c r="F104" s="367">
        <f>SUM(F99:F103)</f>
        <v>13651104</v>
      </c>
      <c r="G104" s="367">
        <f>SUM(G99:G103)</f>
        <v>0</v>
      </c>
      <c r="H104" s="361">
        <f>'Sources and Uses Budget'!T104</f>
        <v>0</v>
      </c>
      <c r="I104" s="367">
        <f>SUM(I99:I103)</f>
        <v>0</v>
      </c>
      <c r="J104" s="367">
        <f>SUM(J99:J103)</f>
        <v>0</v>
      </c>
      <c r="K104" s="359"/>
    </row>
    <row r="105" spans="1:11" s="360" customFormat="1">
      <c r="A105" s="365" t="s">
        <v>1028</v>
      </c>
      <c r="B105" s="361">
        <f>'Sources and Uses Budget'!C105</f>
        <v>112821738</v>
      </c>
      <c r="C105" s="367">
        <f>SUM(C97+C104)</f>
        <v>112821738</v>
      </c>
      <c r="D105" s="367">
        <f>SUM(D97+D104)</f>
        <v>0</v>
      </c>
      <c r="E105" s="361">
        <f>'Sources and Uses Budget'!S105</f>
        <v>104658466</v>
      </c>
      <c r="F105" s="367">
        <f>F97+F104</f>
        <v>104658466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'Sources and Uses Budget'!S107</f>
        <v>104658466</v>
      </c>
      <c r="F107" s="367">
        <f>F105+F106</f>
        <v>104658466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31" workbookViewId="0">
      <selection activeCell="N185" sqref="N185:T18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8" t="s">
        <v>2453</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2452</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80" t="str">
        <f>IF(Application!H18="","",Application!H18)</f>
        <v>636 N Locust Avenue, Long Beach, CA 90802</v>
      </c>
      <c r="M4" s="1881"/>
      <c r="N4" s="1881"/>
      <c r="O4" s="1881"/>
      <c r="P4" s="1881"/>
      <c r="Q4" s="1881"/>
      <c r="R4" s="1881"/>
      <c r="S4" s="1881"/>
      <c r="T4" s="1881"/>
      <c r="U4" s="1881"/>
      <c r="V4" s="1881"/>
      <c r="W4" s="1881"/>
      <c r="X4" s="1881"/>
      <c r="Y4" s="1881"/>
      <c r="Z4" s="1881"/>
      <c r="AA4" s="1881"/>
      <c r="AB4" s="1881"/>
      <c r="AC4" s="1882"/>
      <c r="AD4" s="1190"/>
      <c r="AE4" s="1190"/>
      <c r="AF4" s="1894" t="s">
        <v>2451</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2450</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1880" t="str">
        <f>IF(Application!H16="","",Application!H16)</f>
        <v>American Housing Company 1 LLC</v>
      </c>
      <c r="M6" s="1881"/>
      <c r="N6" s="1881"/>
      <c r="O6" s="1881"/>
      <c r="P6" s="1881"/>
      <c r="Q6" s="1881"/>
      <c r="R6" s="1881"/>
      <c r="S6" s="1881"/>
      <c r="T6" s="1881"/>
      <c r="U6" s="1881"/>
      <c r="V6" s="1881"/>
      <c r="W6" s="1881"/>
      <c r="X6" s="1881"/>
      <c r="Y6" s="1881"/>
      <c r="Z6" s="1881"/>
      <c r="AA6" s="1881"/>
      <c r="AB6" s="1881"/>
      <c r="AC6" s="1882"/>
      <c r="AD6" s="1190"/>
      <c r="AE6" s="1190"/>
      <c r="AF6" s="1883" t="s">
        <v>2448</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2447</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2445</v>
      </c>
      <c r="AG8" s="1883"/>
      <c r="AH8" s="1883"/>
      <c r="AI8" s="1883"/>
      <c r="AJ8" s="1883"/>
      <c r="AK8" s="1883"/>
      <c r="AL8" s="1883"/>
      <c r="AM8" s="1883"/>
      <c r="AN8" s="1883"/>
      <c r="AO8" s="1883"/>
      <c r="AP8" s="1884" t="s">
        <v>2096</v>
      </c>
      <c r="AQ8" s="1884"/>
      <c r="AR8" s="1884"/>
      <c r="AS8" s="1884"/>
      <c r="AT8" s="1884"/>
      <c r="AU8" s="1884"/>
      <c r="AV8" s="1190"/>
      <c r="AW8" s="1190"/>
      <c r="AX8" s="1190"/>
      <c r="AY8" s="1190"/>
      <c r="AZ8" s="1190"/>
      <c r="BA8" s="1190"/>
      <c r="BB8" s="1190"/>
      <c r="BC8" s="1190"/>
      <c r="BD8" s="1190"/>
      <c r="BE8" s="1191"/>
      <c r="BM8" s="1187" t="s">
        <v>1981</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2444</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2443</v>
      </c>
    </row>
    <row r="10" spans="1:65" ht="15">
      <c r="A10" s="1189"/>
      <c r="B10" s="1192" t="s">
        <v>2442</v>
      </c>
      <c r="C10" s="1192"/>
      <c r="D10" s="1192"/>
      <c r="E10" s="1192"/>
      <c r="F10" s="1192"/>
      <c r="G10" s="1192"/>
      <c r="H10" s="1192"/>
      <c r="I10" s="1192"/>
      <c r="J10" s="1192"/>
      <c r="K10" s="1192"/>
      <c r="L10" s="1192"/>
      <c r="M10" s="1190"/>
      <c r="N10" s="1909">
        <f>Application!AO627</f>
        <v>57816376</v>
      </c>
      <c r="O10" s="1909"/>
      <c r="P10" s="1909"/>
      <c r="Q10" s="1909"/>
      <c r="R10" s="1909"/>
      <c r="S10" s="1909"/>
      <c r="T10" s="1909"/>
      <c r="U10" s="1190"/>
      <c r="V10" s="1190"/>
      <c r="W10" s="1190"/>
      <c r="X10" s="1193"/>
      <c r="Y10" s="1193"/>
      <c r="Z10" s="1193"/>
      <c r="AA10" s="1193"/>
      <c r="AB10" s="1193"/>
      <c r="AC10" s="1193"/>
      <c r="AD10" s="1193"/>
      <c r="AE10" s="1193"/>
      <c r="AF10" s="1894" t="s">
        <v>2441</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2440</v>
      </c>
    </row>
    <row r="11" spans="1:65" ht="15">
      <c r="A11" s="1189"/>
      <c r="B11" s="1192" t="s">
        <v>2439</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2438</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2096</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thickBot="1">
      <c r="A13" s="1190"/>
      <c r="B13" s="1897" t="s">
        <v>2436</v>
      </c>
      <c r="C13" s="1898"/>
      <c r="D13" s="1898"/>
      <c r="E13" s="1898"/>
      <c r="F13" s="1898"/>
      <c r="G13" s="1898"/>
      <c r="H13" s="1898"/>
      <c r="I13" s="1898"/>
      <c r="J13" s="1898"/>
      <c r="K13" s="1898"/>
      <c r="L13" s="1898"/>
      <c r="M13" s="1898"/>
      <c r="N13" s="1898"/>
      <c r="O13" s="1898"/>
      <c r="P13" s="1899"/>
      <c r="Q13" s="1900" t="s">
        <v>668</v>
      </c>
      <c r="R13" s="1901"/>
      <c r="S13" s="1901"/>
      <c r="T13" s="1902"/>
      <c r="U13" s="1193"/>
      <c r="V13" s="1190"/>
      <c r="W13" s="1190"/>
      <c r="X13" s="1190"/>
      <c r="Y13" s="1190"/>
      <c r="Z13" s="1190"/>
      <c r="AA13" s="1903" t="s">
        <v>2435</v>
      </c>
      <c r="AB13" s="1903"/>
      <c r="AC13" s="1903"/>
      <c r="AD13" s="1903"/>
      <c r="AE13" s="1903"/>
      <c r="AF13" s="1903"/>
      <c r="AG13" s="1903"/>
      <c r="AH13" s="1903"/>
      <c r="AI13" s="1903"/>
      <c r="AJ13" s="1903"/>
      <c r="AK13" s="1903"/>
      <c r="AL13" s="1903"/>
      <c r="AM13" s="1903"/>
      <c r="AN13" s="1903"/>
      <c r="AO13" s="1904">
        <f>Application!W473</f>
        <v>52</v>
      </c>
      <c r="AP13" s="1905"/>
      <c r="AQ13" s="1905"/>
      <c r="AR13" s="1905"/>
      <c r="AS13" s="1905"/>
      <c r="AT13" s="1193"/>
      <c r="AU13" s="1193"/>
      <c r="AV13" s="1193"/>
      <c r="AW13" s="1193"/>
      <c r="AX13" s="1193"/>
      <c r="AY13" s="1193"/>
      <c r="AZ13" s="1193"/>
      <c r="BA13" s="1193"/>
      <c r="BB13" s="1193"/>
      <c r="BC13" s="1193"/>
      <c r="BD13" s="1193"/>
      <c r="BE13" s="1194"/>
      <c r="BM13" s="1187" t="s">
        <v>2434</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2433</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thickBot="1">
      <c r="A15" s="1190"/>
      <c r="B15" s="1910" t="s">
        <v>2432</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2431</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2430</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2429</v>
      </c>
      <c r="C18" s="1919"/>
      <c r="D18" s="1919"/>
      <c r="E18" s="1919"/>
      <c r="F18" s="1919"/>
      <c r="G18" s="1919"/>
      <c r="H18" s="1919"/>
      <c r="I18" s="1920"/>
      <c r="J18" s="1921" t="s">
        <v>1584</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2428</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si="0">SUM(P19:AS19)</f>
        <v>35</v>
      </c>
      <c r="K19" s="1929"/>
      <c r="L19" s="1929"/>
      <c r="M19" s="1929"/>
      <c r="N19" s="1929"/>
      <c r="O19" s="1930"/>
      <c r="P19" s="1928" cm="1">
        <f t="array" ref="P19">SUMPRODUCT((Application!$B$718:$B$752 = 'CalHFA Addendum'!P$18)*(Application!$AC$718:$AC$752 = 'CalHFA Addendum'!$B19),Application!$G$718:$G$752)</f>
        <v>35</v>
      </c>
      <c r="Q19" s="1929"/>
      <c r="R19" s="1929"/>
      <c r="S19" s="1929"/>
      <c r="T19" s="1929"/>
      <c r="U19" s="1930"/>
      <c r="V19" s="1928" cm="1">
        <f t="array" ref="V19">SUMPRODUCT((Application!$B$714:$B$738 = 'CalHFA Addendum'!V$18)*(Application!$AC$714:$AC$738 = 'CalHFA Addendum'!$B19),Application!$G$714:$G$738)</f>
        <v>0</v>
      </c>
      <c r="W19" s="1929"/>
      <c r="X19" s="1929"/>
      <c r="Y19" s="1929"/>
      <c r="Z19" s="1929"/>
      <c r="AA19" s="1930"/>
      <c r="AB19" s="1928" cm="1">
        <f t="array" ref="AB19">SUMPRODUCT((Application!$B$714:$B$738 = 'CalHFA Addendum'!AB$18)*(Application!$AC$714:$AC$738 = 'CalHFA Addendum'!$B19),Application!$G$714:$G$738)</f>
        <v>0</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0.1023391812865497</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si="0"/>
        <v>35</v>
      </c>
      <c r="K21" s="1929"/>
      <c r="L21" s="1929"/>
      <c r="M21" s="1929"/>
      <c r="N21" s="1929"/>
      <c r="O21" s="1930"/>
      <c r="P21" s="1928" cm="1">
        <f t="array" ref="P21">SUMPRODUCT((Application!$B$714:$B$738 = 'CalHFA Addendum'!P$18)*(Application!$AC$714:$AC$738 = 'CalHFA Addendum'!$B21),Application!$G$714:$G$738)</f>
        <v>33</v>
      </c>
      <c r="Q21" s="1929"/>
      <c r="R21" s="1929"/>
      <c r="S21" s="1929"/>
      <c r="T21" s="1929"/>
      <c r="U21" s="1930"/>
      <c r="V21" s="1928" cm="1">
        <f t="array" ref="V21">SUMPRODUCT((Application!$B$714:$B$738 = 'CalHFA Addendum'!V$18)*(Application!$AC$714:$AC$738 = 'CalHFA Addendum'!$B21),Application!$G$714:$G$738)</f>
        <v>2</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0.1023391812865497</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si="0"/>
        <v>168</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162</v>
      </c>
      <c r="W22" s="1929"/>
      <c r="X22" s="1929"/>
      <c r="Y22" s="1929"/>
      <c r="Z22" s="1929"/>
      <c r="AA22" s="1930"/>
      <c r="AB22" s="1928" cm="1">
        <f t="array" ref="AB22">SUMPRODUCT((Application!$B$714:$B$738 = 'CalHFA Addendum'!AB$18)*(Application!$AC$714:$AC$738 = 'CalHFA Addendum'!$B22),Application!$G$714:$G$738)</f>
        <v>6</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0.49122807017543857</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si="0"/>
        <v>104</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60</v>
      </c>
      <c r="W23" s="1929"/>
      <c r="X23" s="1929"/>
      <c r="Y23" s="1929"/>
      <c r="Z23" s="1929"/>
      <c r="AA23" s="1930"/>
      <c r="AB23" s="1928" cm="1">
        <f t="array" ref="AB23">SUMPRODUCT((Application!$B$714:$B$738 = 'CalHFA Addendum'!AB$18)*(Application!$AC$714:$AC$738 = 'CalHFA Addendum'!$B23),Application!$G$714:$G$738)</f>
        <v>44</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0.30409356725146197</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thickBot="1">
      <c r="A28" s="1190"/>
      <c r="B28" s="1937" t="s">
        <v>2427</v>
      </c>
      <c r="C28" s="1938"/>
      <c r="D28" s="1938"/>
      <c r="E28" s="1938"/>
      <c r="F28" s="1938"/>
      <c r="G28" s="1938"/>
      <c r="H28" s="1938"/>
      <c r="I28" s="1939"/>
      <c r="J28" s="1940">
        <f>SUM(P28:AS28)</f>
        <v>0</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0</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0</v>
      </c>
      <c r="AU28" s="1944"/>
      <c r="AV28" s="1944"/>
      <c r="AW28" s="1944"/>
      <c r="AX28" s="1944"/>
      <c r="AY28" s="1945"/>
      <c r="AZ28" s="1190"/>
      <c r="BA28" s="1190"/>
      <c r="BB28" s="1190"/>
      <c r="BC28" s="1190"/>
      <c r="BD28" s="1190"/>
      <c r="BE28" s="1194"/>
    </row>
    <row r="29" spans="1:58" thickBot="1">
      <c r="A29" s="1190"/>
      <c r="B29" s="1974" t="s">
        <v>1584</v>
      </c>
      <c r="C29" s="1947"/>
      <c r="D29" s="1947"/>
      <c r="E29" s="1947"/>
      <c r="F29" s="1947"/>
      <c r="G29" s="1947"/>
      <c r="H29" s="1947"/>
      <c r="I29" s="1948"/>
      <c r="J29" s="1946">
        <f>SUM(J19:O28)</f>
        <v>342</v>
      </c>
      <c r="K29" s="1947"/>
      <c r="L29" s="1947"/>
      <c r="M29" s="1947"/>
      <c r="N29" s="1947"/>
      <c r="O29" s="1948"/>
      <c r="P29" s="1946">
        <f>SUM(P19:U28)</f>
        <v>68</v>
      </c>
      <c r="Q29" s="1947"/>
      <c r="R29" s="1947"/>
      <c r="S29" s="1947"/>
      <c r="T29" s="1947"/>
      <c r="U29" s="1948"/>
      <c r="V29" s="1946">
        <f>SUM(V19:AA28)</f>
        <v>224</v>
      </c>
      <c r="W29" s="1947"/>
      <c r="X29" s="1947"/>
      <c r="Y29" s="1947"/>
      <c r="Z29" s="1947"/>
      <c r="AA29" s="1948"/>
      <c r="AB29" s="1946">
        <f>SUM(AB19:AG28)</f>
        <v>50</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2" t="s">
        <v>2426</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thickBot="1">
      <c r="A32" s="1190"/>
      <c r="B32" s="1955" t="s">
        <v>2425</v>
      </c>
      <c r="C32" s="1956"/>
      <c r="D32" s="1956"/>
      <c r="E32" s="1956"/>
      <c r="F32" s="1956"/>
      <c r="G32" s="1956"/>
      <c r="H32" s="1956"/>
      <c r="I32" s="1956"/>
      <c r="J32" s="1959" t="s">
        <v>2424</v>
      </c>
      <c r="K32" s="1960"/>
      <c r="L32" s="1960"/>
      <c r="M32" s="1960"/>
      <c r="N32" s="1959" t="s">
        <v>2423</v>
      </c>
      <c r="O32" s="1960"/>
      <c r="P32" s="1960"/>
      <c r="Q32" s="1962"/>
      <c r="R32" s="1964" t="s">
        <v>2422</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2421</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2420</v>
      </c>
      <c r="AT35" s="1976"/>
      <c r="AU35" s="1976"/>
      <c r="AV35" s="1976"/>
      <c r="AW35" s="1976"/>
      <c r="AX35" s="1984"/>
      <c r="AY35" s="1975" t="s">
        <v>2419</v>
      </c>
      <c r="AZ35" s="1976"/>
      <c r="BA35" s="1976"/>
      <c r="BB35" s="1976"/>
      <c r="BC35" s="1976"/>
      <c r="BD35" s="1977"/>
      <c r="BE35" s="1194"/>
    </row>
    <row r="36" spans="1:58" ht="15.75" customHeight="1">
      <c r="A36" s="1190"/>
      <c r="B36" s="1994" t="s">
        <v>2418</v>
      </c>
      <c r="C36" s="1995"/>
      <c r="D36" s="1995"/>
      <c r="E36" s="1995"/>
      <c r="F36" s="1995"/>
      <c r="G36" s="1995"/>
      <c r="H36" s="1995"/>
      <c r="I36" s="1995"/>
      <c r="J36" s="1996" t="s">
        <v>2417</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2416</v>
      </c>
      <c r="C37" s="1995"/>
      <c r="D37" s="1995"/>
      <c r="E37" s="1995"/>
      <c r="F37" s="1995"/>
      <c r="G37" s="1995"/>
      <c r="H37" s="1995"/>
      <c r="I37" s="1995"/>
      <c r="J37" s="1996" t="s">
        <v>2415</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2414</v>
      </c>
      <c r="C38" s="1995"/>
      <c r="D38" s="1995"/>
      <c r="E38" s="1995"/>
      <c r="F38" s="1995"/>
      <c r="G38" s="1995"/>
      <c r="H38" s="1995"/>
      <c r="I38" s="1995"/>
      <c r="J38" s="1996" t="s">
        <v>2413</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2412</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2412</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2411</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2411</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2410</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2409</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2408</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2332</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2405</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2398</v>
      </c>
      <c r="C51" s="2014"/>
      <c r="D51" s="2014"/>
      <c r="E51" s="2014"/>
      <c r="F51" s="2014"/>
      <c r="G51" s="2014"/>
      <c r="H51" s="2014"/>
      <c r="I51" s="2014"/>
      <c r="J51" s="2014" t="s">
        <v>2404</v>
      </c>
      <c r="K51" s="2014"/>
      <c r="L51" s="2014"/>
      <c r="M51" s="2014"/>
      <c r="N51" s="2014"/>
      <c r="O51" s="2014"/>
      <c r="P51" s="2014"/>
      <c r="Q51" s="2014"/>
      <c r="R51" s="2015" t="s">
        <v>2403</v>
      </c>
      <c r="S51" s="2015"/>
      <c r="T51" s="2015"/>
      <c r="U51" s="2015"/>
      <c r="V51" s="2015"/>
      <c r="W51" s="2015"/>
      <c r="X51" s="2015"/>
      <c r="Y51" s="2015"/>
      <c r="Z51" s="2015" t="s">
        <v>2402</v>
      </c>
      <c r="AA51" s="2015"/>
      <c r="AB51" s="2015"/>
      <c r="AC51" s="2015"/>
      <c r="AD51" s="2015"/>
      <c r="AE51" s="2015"/>
      <c r="AF51" s="2015"/>
      <c r="AG51" s="2015"/>
      <c r="AH51" s="2015" t="s">
        <v>2401</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2400</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2399</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1584</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2398</v>
      </c>
      <c r="C59" s="2023"/>
      <c r="D59" s="2023"/>
      <c r="E59" s="2023"/>
      <c r="F59" s="2023"/>
      <c r="G59" s="2023"/>
      <c r="H59" s="2023"/>
      <c r="I59" s="2024"/>
      <c r="J59" s="1916" t="s">
        <v>2397</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2395</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2394</v>
      </c>
      <c r="AD68" s="2060"/>
      <c r="AE68" s="2060"/>
      <c r="AF68" s="2060"/>
      <c r="AG68" s="2060"/>
      <c r="AH68" s="2060"/>
      <c r="AI68" s="2060"/>
      <c r="AJ68" s="2060"/>
      <c r="AK68" s="2060"/>
      <c r="AL68" s="2060"/>
      <c r="AM68" s="2060"/>
      <c r="AN68" s="2060"/>
      <c r="AO68" s="2060"/>
      <c r="AP68" s="2060"/>
      <c r="AQ68" s="2060"/>
      <c r="AR68" s="2060"/>
      <c r="AS68" s="2060"/>
      <c r="AT68" s="2060"/>
      <c r="AU68" s="2060"/>
      <c r="AV68" s="2037" t="s">
        <v>668</v>
      </c>
      <c r="AW68" s="2038"/>
      <c r="AX68" s="2038"/>
      <c r="AY68" s="2038"/>
      <c r="AZ68" s="2038"/>
      <c r="BA68" s="2038"/>
      <c r="BB68" s="2038"/>
      <c r="BC68" s="2039"/>
      <c r="BD68" s="1190"/>
      <c r="BE68" s="1194"/>
      <c r="BM68" s="1199" t="s">
        <v>2393</v>
      </c>
    </row>
    <row r="69" spans="1:94" ht="15.75" customHeight="1" thickTop="1" thickBot="1">
      <c r="A69" s="1190"/>
      <c r="B69" s="2040" t="s">
        <v>2392</v>
      </c>
      <c r="C69" s="2041"/>
      <c r="D69" s="2041"/>
      <c r="E69" s="2041"/>
      <c r="F69" s="2041"/>
      <c r="G69" s="2041"/>
      <c r="H69" s="2041"/>
      <c r="I69" s="2041"/>
      <c r="J69" s="2041"/>
      <c r="K69" s="2041"/>
      <c r="L69" s="2041"/>
      <c r="M69" s="2041"/>
      <c r="N69" s="2041"/>
      <c r="O69" s="2042" t="s">
        <v>2391</v>
      </c>
      <c r="P69" s="2043"/>
      <c r="Q69" s="2043"/>
      <c r="R69" s="2043"/>
      <c r="S69" s="2043"/>
      <c r="T69" s="2043"/>
      <c r="U69" s="2043"/>
      <c r="V69" s="2043"/>
      <c r="W69" s="2043"/>
      <c r="X69" s="2043"/>
      <c r="Y69" s="2043"/>
      <c r="Z69" s="2043"/>
      <c r="AA69" s="2044"/>
      <c r="AB69" s="1190"/>
      <c r="AC69" s="2045" t="s">
        <v>2390</v>
      </c>
      <c r="AD69" s="2046"/>
      <c r="AE69" s="2046"/>
      <c r="AF69" s="2046"/>
      <c r="AG69" s="2046"/>
      <c r="AH69" s="2046"/>
      <c r="AI69" s="2046"/>
      <c r="AJ69" s="2046"/>
      <c r="AK69" s="2046"/>
      <c r="AL69" s="2046"/>
      <c r="AM69" s="2046"/>
      <c r="AN69" s="2046"/>
      <c r="AO69" s="2046"/>
      <c r="AP69" s="2046"/>
      <c r="AQ69" s="2046"/>
      <c r="AR69" s="2046"/>
      <c r="AS69" s="2046"/>
      <c r="AT69" s="2046"/>
      <c r="AU69" s="2046"/>
      <c r="AV69" s="2037" t="s">
        <v>668</v>
      </c>
      <c r="AW69" s="2038"/>
      <c r="AX69" s="2038"/>
      <c r="AY69" s="2038"/>
      <c r="AZ69" s="2038"/>
      <c r="BA69" s="2038"/>
      <c r="BB69" s="2038"/>
      <c r="BC69" s="2039"/>
      <c r="BD69" s="1190"/>
      <c r="BE69" s="1194"/>
      <c r="BM69" s="1200" t="s">
        <v>544</v>
      </c>
    </row>
    <row r="70" spans="1:94" ht="15.75" customHeight="1">
      <c r="A70" s="1190"/>
      <c r="B70" s="1994" t="s">
        <v>2389</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2388</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668</v>
      </c>
    </row>
    <row r="71" spans="1:94" ht="15.75" customHeight="1" thickBot="1">
      <c r="A71" s="1190"/>
      <c r="B71" s="1994" t="s">
        <v>2387</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2386</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2385</v>
      </c>
    </row>
    <row r="72" spans="1:94" ht="15.75" customHeight="1">
      <c r="A72" s="1190"/>
      <c r="B72" s="1994" t="s">
        <v>2384</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2383</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2382</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2327</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2280</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2380</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2379</v>
      </c>
      <c r="C81" s="2070"/>
      <c r="D81" s="2070"/>
      <c r="E81" s="2070"/>
      <c r="F81" s="2070"/>
      <c r="G81" s="2070"/>
      <c r="H81" s="2070"/>
      <c r="I81" s="2070"/>
      <c r="J81" s="2070"/>
      <c r="K81" s="2070"/>
      <c r="L81" s="2070"/>
      <c r="M81" s="2070"/>
      <c r="N81" s="2070"/>
      <c r="O81" s="2070"/>
      <c r="P81" s="2070"/>
      <c r="Q81" s="2070"/>
      <c r="R81" s="2071" t="s">
        <v>2185</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2378</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2377</v>
      </c>
      <c r="AK83" s="2093"/>
      <c r="AL83" s="2093"/>
      <c r="AM83" s="2093"/>
      <c r="AN83" s="2093"/>
      <c r="AO83" s="2093"/>
      <c r="AP83" s="2093"/>
      <c r="AQ83" s="2093"/>
      <c r="AR83" s="2093"/>
      <c r="AS83" s="2093"/>
      <c r="AT83" s="2093"/>
      <c r="AU83" s="2093"/>
      <c r="AV83" s="2093"/>
      <c r="AW83" s="2093"/>
      <c r="AX83" s="2093"/>
      <c r="AY83" s="2096" t="s">
        <v>544</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2367</v>
      </c>
      <c r="J84" s="2014"/>
      <c r="K84" s="2014"/>
      <c r="L84" s="2014"/>
      <c r="M84" s="2014"/>
      <c r="N84" s="2014"/>
      <c r="O84" s="2014" t="s">
        <v>2343</v>
      </c>
      <c r="P84" s="2014"/>
      <c r="Q84" s="2014"/>
      <c r="R84" s="2014"/>
      <c r="S84" s="2014"/>
      <c r="T84" s="2014"/>
      <c r="U84" s="2014"/>
      <c r="V84" s="2100" t="s">
        <v>2342</v>
      </c>
      <c r="W84" s="2100"/>
      <c r="X84" s="2100"/>
      <c r="Y84" s="2100"/>
      <c r="Z84" s="2100"/>
      <c r="AA84" s="2100"/>
      <c r="AB84" s="2101" t="s">
        <v>2366</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2365</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2364</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2371</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2363</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2280</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2375</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2374</v>
      </c>
      <c r="C94" s="2070"/>
      <c r="D94" s="2070"/>
      <c r="E94" s="2070"/>
      <c r="F94" s="2070"/>
      <c r="G94" s="2070"/>
      <c r="H94" s="2070"/>
      <c r="I94" s="2070"/>
      <c r="J94" s="2070"/>
      <c r="K94" s="2070"/>
      <c r="L94" s="2070"/>
      <c r="M94" s="2070"/>
      <c r="N94" s="2070"/>
      <c r="O94" s="2070"/>
      <c r="P94" s="2070"/>
      <c r="Q94" s="2104"/>
      <c r="R94" s="2071" t="s">
        <v>2185</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2373</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2372</v>
      </c>
      <c r="AK96" s="2093"/>
      <c r="AL96" s="2093"/>
      <c r="AM96" s="2093"/>
      <c r="AN96" s="2093"/>
      <c r="AO96" s="2093"/>
      <c r="AP96" s="2093"/>
      <c r="AQ96" s="2093"/>
      <c r="AR96" s="2093"/>
      <c r="AS96" s="2093"/>
      <c r="AT96" s="2093"/>
      <c r="AU96" s="2093"/>
      <c r="AV96" s="2093"/>
      <c r="AW96" s="2093"/>
      <c r="AX96" s="2093"/>
      <c r="AY96" s="2096" t="s">
        <v>544</v>
      </c>
      <c r="AZ96" s="2096"/>
      <c r="BA96" s="2096"/>
      <c r="BB96" s="2097"/>
      <c r="BC96" s="1190"/>
      <c r="BD96" s="1190"/>
      <c r="BE96" s="1194"/>
      <c r="BQ96" s="1256" t="str">
        <f>Application!M243&amp;IF(TRIM(Application!AA249)&lt;&gt;""," ("&amp;Application!AA249&amp;")","")</f>
        <v>American Housing Company 1 LLC (American Housing Company 1 LLC)</v>
      </c>
      <c r="BR96" s="1259">
        <f>Application!AH246</f>
        <v>1E-3</v>
      </c>
      <c r="CM96" s="1188"/>
      <c r="CN96" s="1188"/>
      <c r="CO96" s="1188"/>
      <c r="CP96" s="1188"/>
    </row>
    <row r="97" spans="1:94" ht="15.75" customHeight="1">
      <c r="A97" s="1190"/>
      <c r="B97" s="2013"/>
      <c r="C97" s="2014"/>
      <c r="D97" s="2014"/>
      <c r="E97" s="2014"/>
      <c r="F97" s="2014"/>
      <c r="G97" s="2014"/>
      <c r="H97" s="2014"/>
      <c r="I97" s="2014" t="s">
        <v>2367</v>
      </c>
      <c r="J97" s="2014"/>
      <c r="K97" s="2014"/>
      <c r="L97" s="2014"/>
      <c r="M97" s="2014"/>
      <c r="N97" s="2014"/>
      <c r="O97" s="2014" t="s">
        <v>2343</v>
      </c>
      <c r="P97" s="2014"/>
      <c r="Q97" s="2014"/>
      <c r="R97" s="2014"/>
      <c r="S97" s="2014"/>
      <c r="T97" s="2014"/>
      <c r="U97" s="2014"/>
      <c r="V97" s="2100" t="s">
        <v>2342</v>
      </c>
      <c r="W97" s="2100"/>
      <c r="X97" s="2100"/>
      <c r="Y97" s="2100"/>
      <c r="Z97" s="2100"/>
      <c r="AA97" s="2100"/>
      <c r="AB97" s="2101" t="s">
        <v>2366</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Community Revitalization and Development Corporation (Community Revitalization and Development Corporation)</v>
      </c>
      <c r="BR97" s="1259">
        <f>Application!AH254</f>
        <v>1E-3</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2365</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2364</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2371</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2363</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2280</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2368</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2367</v>
      </c>
      <c r="J108" s="2014"/>
      <c r="K108" s="2014"/>
      <c r="L108" s="2014"/>
      <c r="M108" s="2014"/>
      <c r="N108" s="2014"/>
      <c r="O108" s="2014" t="s">
        <v>2343</v>
      </c>
      <c r="P108" s="2014"/>
      <c r="Q108" s="2014"/>
      <c r="R108" s="2014"/>
      <c r="S108" s="2014"/>
      <c r="T108" s="2014"/>
      <c r="U108" s="2014"/>
      <c r="V108" s="2100" t="s">
        <v>2342</v>
      </c>
      <c r="W108" s="2100"/>
      <c r="X108" s="2100"/>
      <c r="Y108" s="2100"/>
      <c r="Z108" s="2100"/>
      <c r="AA108" s="2100"/>
      <c r="AB108" s="2101" t="s">
        <v>2366</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2365</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2364</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2363</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2280</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2361</v>
      </c>
      <c r="C117" s="2120"/>
      <c r="D117" s="2120"/>
      <c r="E117" s="2120"/>
      <c r="F117" s="2120"/>
      <c r="G117" s="2120"/>
      <c r="H117" s="2120"/>
      <c r="I117" s="2120"/>
      <c r="J117" s="2120"/>
      <c r="K117" s="2120"/>
      <c r="L117" s="2120"/>
      <c r="M117" s="2120"/>
      <c r="N117" s="2120"/>
      <c r="O117" s="2120"/>
      <c r="P117" s="2120"/>
      <c r="Q117" s="2120"/>
      <c r="R117" s="2120"/>
      <c r="S117" s="2120"/>
      <c r="T117" s="2120"/>
      <c r="U117" s="2123" t="s">
        <v>544</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2361</v>
      </c>
      <c r="C121" s="2128"/>
      <c r="D121" s="2128"/>
      <c r="E121" s="2128"/>
      <c r="F121" s="2128"/>
      <c r="G121" s="2128"/>
      <c r="H121" s="2128"/>
      <c r="I121" s="2128"/>
      <c r="J121" s="2128"/>
      <c r="K121" s="2128"/>
      <c r="L121" s="2128"/>
      <c r="M121" s="2128"/>
      <c r="N121" s="2128"/>
      <c r="O121" s="2128"/>
      <c r="P121" s="2128"/>
      <c r="Q121" s="2128"/>
      <c r="R121" s="2128"/>
      <c r="S121" s="2128"/>
      <c r="T121" s="2128"/>
      <c r="U121" s="2131" t="s">
        <v>544</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2359</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1574</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2358</v>
      </c>
      <c r="J127" s="2014"/>
      <c r="K127" s="2014"/>
      <c r="L127" s="2014"/>
      <c r="M127" s="2014"/>
      <c r="N127" s="2014"/>
      <c r="O127" s="2111" t="s">
        <v>2357</v>
      </c>
      <c r="P127" s="2111"/>
      <c r="Q127" s="2111"/>
      <c r="R127" s="2111"/>
      <c r="S127" s="2111"/>
      <c r="T127" s="2111"/>
      <c r="U127" s="2112"/>
      <c r="V127" s="1190"/>
      <c r="W127" s="1190"/>
      <c r="X127" s="2079" t="s">
        <v>2327</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2341</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2340</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2355</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2343</v>
      </c>
      <c r="J134" s="2157"/>
      <c r="K134" s="2157"/>
      <c r="L134" s="2157"/>
      <c r="M134" s="2157"/>
      <c r="N134" s="2157"/>
      <c r="O134" s="2157"/>
      <c r="P134" s="2157" t="s">
        <v>2342</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2341</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2340</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2354</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544</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2353</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2352</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544</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2351</v>
      </c>
      <c r="C142" s="2144"/>
      <c r="D142" s="2144"/>
      <c r="E142" s="2144"/>
      <c r="F142" s="2144"/>
      <c r="G142" s="2144"/>
      <c r="H142" s="2144"/>
      <c r="I142" s="2144"/>
      <c r="J142" s="2144"/>
      <c r="K142" s="2144"/>
      <c r="L142" s="2144"/>
      <c r="M142" s="2144"/>
      <c r="N142" s="2144"/>
      <c r="O142" s="2144"/>
      <c r="P142" s="2144"/>
      <c r="Q142" s="2144"/>
      <c r="R142" s="2145" t="s">
        <v>2350</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2349</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2348</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2347</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2346</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2345</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2343</v>
      </c>
      <c r="J157" s="2157"/>
      <c r="K157" s="2157"/>
      <c r="L157" s="2157"/>
      <c r="M157" s="2157"/>
      <c r="N157" s="2157"/>
      <c r="O157" s="2157"/>
      <c r="P157" s="2157" t="s">
        <v>2344</v>
      </c>
      <c r="Q157" s="2157"/>
      <c r="R157" s="2157"/>
      <c r="S157" s="2157"/>
      <c r="T157" s="2157"/>
      <c r="U157" s="2158"/>
      <c r="V157" s="1190"/>
      <c r="W157" s="1190"/>
      <c r="X157" s="2155"/>
      <c r="Y157" s="2156"/>
      <c r="Z157" s="2156"/>
      <c r="AA157" s="2156"/>
      <c r="AB157" s="2156"/>
      <c r="AC157" s="2156"/>
      <c r="AD157" s="2156"/>
      <c r="AE157" s="2157" t="s">
        <v>2343</v>
      </c>
      <c r="AF157" s="2157"/>
      <c r="AG157" s="2157"/>
      <c r="AH157" s="2157"/>
      <c r="AI157" s="2157"/>
      <c r="AJ157" s="2157"/>
      <c r="AK157" s="2157"/>
      <c r="AL157" s="2157" t="s">
        <v>2342</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2341</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2341</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2340</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2339</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2324</v>
      </c>
      <c r="D163" s="2156"/>
      <c r="E163" s="2156"/>
      <c r="F163" s="2156"/>
      <c r="G163" s="2156"/>
      <c r="H163" s="2156"/>
      <c r="I163" s="2156"/>
      <c r="J163" s="2156"/>
      <c r="K163" s="2156"/>
      <c r="L163" s="2156"/>
      <c r="M163" s="2156"/>
      <c r="N163" s="2156"/>
      <c r="O163" s="2156"/>
      <c r="P163" s="2156"/>
      <c r="Q163" s="2156" t="s">
        <v>2338</v>
      </c>
      <c r="R163" s="2156"/>
      <c r="S163" s="2156"/>
      <c r="T163" s="2101" t="s">
        <v>2337</v>
      </c>
      <c r="U163" s="2101"/>
      <c r="V163" s="2101"/>
      <c r="W163" s="2101"/>
      <c r="X163" s="2101"/>
      <c r="Y163" s="2101"/>
      <c r="Z163" s="2101"/>
      <c r="AA163" s="2101"/>
      <c r="AB163" s="2156" t="s">
        <v>2336</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2335</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2334</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2333</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2332</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2313</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2313</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2313</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2331</v>
      </c>
      <c r="D172" s="2060"/>
      <c r="E172" s="2060"/>
      <c r="F172" s="2060"/>
      <c r="G172" s="2060"/>
      <c r="H172" s="2060"/>
      <c r="I172" s="2060"/>
      <c r="J172" s="2060"/>
      <c r="K172" s="2060"/>
      <c r="L172" s="2060"/>
      <c r="M172" s="2060"/>
      <c r="N172" s="2110"/>
      <c r="O172" s="1190"/>
      <c r="P172" s="2175" t="s">
        <v>2330</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2329</v>
      </c>
      <c r="D173" s="2156"/>
      <c r="E173" s="2156"/>
      <c r="F173" s="2156"/>
      <c r="G173" s="2156"/>
      <c r="H173" s="2156"/>
      <c r="I173" s="2156" t="s">
        <v>2328</v>
      </c>
      <c r="J173" s="2156"/>
      <c r="K173" s="2156"/>
      <c r="L173" s="2156"/>
      <c r="M173" s="2156"/>
      <c r="N173" s="2164"/>
      <c r="O173" s="1190"/>
      <c r="P173" s="2079" t="s">
        <v>2327</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2326</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2324</v>
      </c>
      <c r="D184" s="2060"/>
      <c r="E184" s="2060"/>
      <c r="F184" s="2060"/>
      <c r="G184" s="2060"/>
      <c r="H184" s="2060"/>
      <c r="I184" s="2060"/>
      <c r="J184" s="2060"/>
      <c r="K184" s="2060"/>
      <c r="L184" s="2060"/>
      <c r="M184" s="2060"/>
      <c r="N184" s="2060" t="s">
        <v>2325</v>
      </c>
      <c r="O184" s="2060"/>
      <c r="P184" s="2060"/>
      <c r="Q184" s="2060"/>
      <c r="R184" s="2060"/>
      <c r="S184" s="2060"/>
      <c r="T184" s="2060"/>
      <c r="U184" s="2011" t="s">
        <v>2324</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2323</v>
      </c>
      <c r="D185" s="2184"/>
      <c r="E185" s="2184"/>
      <c r="F185" s="2184"/>
      <c r="G185" s="2184"/>
      <c r="H185" s="2184"/>
      <c r="I185" s="2184"/>
      <c r="J185" s="2184"/>
      <c r="K185" s="2184"/>
      <c r="L185" s="2184"/>
      <c r="M185" s="2184"/>
      <c r="N185" s="2185">
        <f>'Sources and Uses Budget'!B105</f>
        <v>112821738</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2322</v>
      </c>
      <c r="D186" s="2184"/>
      <c r="E186" s="2184"/>
      <c r="F186" s="2184"/>
      <c r="G186" s="2184"/>
      <c r="H186" s="2184"/>
      <c r="I186" s="2184"/>
      <c r="J186" s="2184"/>
      <c r="K186" s="2184"/>
      <c r="L186" s="2184"/>
      <c r="M186" s="2184"/>
      <c r="N186" s="2185">
        <f>N185/J29</f>
        <v>329888.12280701753</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2321</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2320</v>
      </c>
      <c r="D188" s="2184"/>
      <c r="E188" s="2184"/>
      <c r="F188" s="2184"/>
      <c r="G188" s="2184"/>
      <c r="H188" s="2184"/>
      <c r="I188" s="2184"/>
      <c r="J188" s="2184"/>
      <c r="K188" s="2184"/>
      <c r="L188" s="2184"/>
      <c r="M188" s="2184"/>
      <c r="N188" s="2201">
        <f>SUM('Sources and Uses Budget'!B85:B86)</f>
        <v>3114000</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2319</v>
      </c>
      <c r="D189" s="2184"/>
      <c r="E189" s="2184"/>
      <c r="F189" s="2184"/>
      <c r="G189" s="2184"/>
      <c r="H189" s="2184"/>
      <c r="I189" s="2184"/>
      <c r="J189" s="2184"/>
      <c r="K189" s="2184"/>
      <c r="L189" s="2184"/>
      <c r="M189" s="2184"/>
      <c r="N189" s="2201">
        <f>'Sources and Uses Budget'!B8</f>
        <v>2273325</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2317</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2318</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2317</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2316</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2315</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2313</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2314</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2313</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2313</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2312</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2311</v>
      </c>
      <c r="D195" s="2223"/>
      <c r="E195" s="2223"/>
      <c r="F195" s="2223"/>
      <c r="G195" s="2223"/>
      <c r="H195" s="2223"/>
      <c r="I195" s="2223"/>
      <c r="J195" s="2223"/>
      <c r="K195" s="2223"/>
      <c r="L195" s="2223"/>
      <c r="M195" s="2223"/>
      <c r="N195" s="2224">
        <f>SUM(N187:T194)</f>
        <v>5387325</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2310</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2309</v>
      </c>
      <c r="D196" s="2233"/>
      <c r="E196" s="2233"/>
      <c r="F196" s="2233"/>
      <c r="G196" s="2233"/>
      <c r="H196" s="2233"/>
      <c r="I196" s="2233"/>
      <c r="J196" s="2233"/>
      <c r="K196" s="2233"/>
      <c r="L196" s="2233"/>
      <c r="M196" s="2233"/>
      <c r="N196" s="2234">
        <f>(N185-N195)/J29</f>
        <v>314135.71052631579</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2308</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2307</v>
      </c>
      <c r="D200" s="2259"/>
      <c r="E200" s="2259"/>
      <c r="F200" s="2259"/>
      <c r="G200" s="2259"/>
      <c r="H200" s="2259"/>
      <c r="I200" s="2259"/>
      <c r="J200" s="2259"/>
      <c r="K200" s="2259"/>
      <c r="L200" s="2259"/>
      <c r="M200" s="2259"/>
      <c r="N200" s="2259"/>
      <c r="O200" s="2260" t="s">
        <v>2306</v>
      </c>
      <c r="P200" s="2260"/>
      <c r="Q200" s="2260"/>
      <c r="R200" s="2260"/>
      <c r="S200" s="2260"/>
      <c r="T200" s="2260"/>
      <c r="U200" s="2260"/>
      <c r="V200" s="2260"/>
      <c r="W200" s="2260"/>
      <c r="X200" s="2260" t="s">
        <v>2305</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2304</v>
      </c>
      <c r="D201" s="2251"/>
      <c r="E201" s="2251"/>
      <c r="F201" s="2251"/>
      <c r="G201" s="2251"/>
      <c r="H201" s="2251"/>
      <c r="I201" s="2251"/>
      <c r="J201" s="2251"/>
      <c r="K201" s="2251"/>
      <c r="L201" s="2251"/>
      <c r="M201" s="2251"/>
      <c r="N201" s="2251"/>
      <c r="O201" s="2252" t="s">
        <v>2303</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853</v>
      </c>
      <c r="D202" s="2251"/>
      <c r="E202" s="2251"/>
      <c r="F202" s="2251"/>
      <c r="G202" s="2251"/>
      <c r="H202" s="2251"/>
      <c r="I202" s="2251"/>
      <c r="J202" s="2251"/>
      <c r="K202" s="2251"/>
      <c r="L202" s="2251"/>
      <c r="M202" s="2251"/>
      <c r="N202" s="2251"/>
      <c r="O202" s="2252" t="s">
        <v>2303</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2302</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2301</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2300</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2299</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2298</v>
      </c>
      <c r="D207" s="2266"/>
      <c r="E207" s="2266"/>
      <c r="F207" s="2267"/>
      <c r="G207" s="2271" t="s">
        <v>2297</v>
      </c>
      <c r="H207" s="2266"/>
      <c r="I207" s="2266"/>
      <c r="J207" s="2266"/>
      <c r="K207" s="2266"/>
      <c r="L207" s="2266"/>
      <c r="M207" s="2266"/>
      <c r="N207" s="2266"/>
      <c r="O207" s="2267"/>
      <c r="P207" s="2273" t="s">
        <v>2296</v>
      </c>
      <c r="Q207" s="2274"/>
      <c r="R207" s="2274"/>
      <c r="S207" s="2274"/>
      <c r="T207" s="2275"/>
      <c r="U207" s="2279" t="s">
        <v>2295</v>
      </c>
      <c r="V207" s="2280"/>
      <c r="W207" s="2280"/>
      <c r="X207" s="2281"/>
      <c r="Y207" s="2279" t="s">
        <v>2294</v>
      </c>
      <c r="Z207" s="2280"/>
      <c r="AA207" s="2280"/>
      <c r="AB207" s="2281"/>
      <c r="AC207" s="2279" t="s">
        <v>2293</v>
      </c>
      <c r="AD207" s="2280"/>
      <c r="AE207" s="2280"/>
      <c r="AF207" s="2281"/>
      <c r="AG207" s="2271" t="s">
        <v>2292</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1882</v>
      </c>
      <c r="H209" s="2292"/>
      <c r="I209" s="2292"/>
      <c r="J209" s="2292"/>
      <c r="K209" s="2292"/>
      <c r="L209" s="2292"/>
      <c r="M209" s="2292"/>
      <c r="N209" s="2292"/>
      <c r="O209" s="2292"/>
      <c r="P209" s="2293"/>
      <c r="Q209" s="2296"/>
      <c r="R209" s="2296"/>
      <c r="S209" s="2296"/>
      <c r="T209" s="2296"/>
      <c r="U209" s="2294" t="s">
        <v>1882</v>
      </c>
      <c r="V209" s="2294"/>
      <c r="W209" s="2294"/>
      <c r="X209" s="2294"/>
      <c r="Y209" s="2294" t="s">
        <v>1882</v>
      </c>
      <c r="Z209" s="2294"/>
      <c r="AA209" s="2294"/>
      <c r="AB209" s="2294"/>
      <c r="AC209" s="2295" t="s">
        <v>1882</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1882</v>
      </c>
      <c r="H210" s="2292"/>
      <c r="I210" s="2292"/>
      <c r="J210" s="2292"/>
      <c r="K210" s="2292"/>
      <c r="L210" s="2292"/>
      <c r="M210" s="2292"/>
      <c r="N210" s="2292"/>
      <c r="O210" s="2292"/>
      <c r="P210" s="2293"/>
      <c r="Q210" s="2293"/>
      <c r="R210" s="2293"/>
      <c r="S210" s="2293"/>
      <c r="T210" s="2293"/>
      <c r="U210" s="2294" t="s">
        <v>1882</v>
      </c>
      <c r="V210" s="2294"/>
      <c r="W210" s="2294"/>
      <c r="X210" s="2294"/>
      <c r="Y210" s="2294" t="s">
        <v>1882</v>
      </c>
      <c r="Z210" s="2294"/>
      <c r="AA210" s="2294"/>
      <c r="AB210" s="2294"/>
      <c r="AC210" s="2295" t="s">
        <v>1882</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1882</v>
      </c>
      <c r="H211" s="2292"/>
      <c r="I211" s="2292"/>
      <c r="J211" s="2292"/>
      <c r="K211" s="2292"/>
      <c r="L211" s="2292"/>
      <c r="M211" s="2292"/>
      <c r="N211" s="2292"/>
      <c r="O211" s="2292"/>
      <c r="P211" s="2293"/>
      <c r="Q211" s="2293"/>
      <c r="R211" s="2293"/>
      <c r="S211" s="2293"/>
      <c r="T211" s="2293"/>
      <c r="U211" s="2294" t="s">
        <v>1882</v>
      </c>
      <c r="V211" s="2294"/>
      <c r="W211" s="2294"/>
      <c r="X211" s="2294"/>
      <c r="Y211" s="2294" t="s">
        <v>1882</v>
      </c>
      <c r="Z211" s="2294"/>
      <c r="AA211" s="2294"/>
      <c r="AB211" s="2294"/>
      <c r="AC211" s="2295" t="s">
        <v>1882</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1882</v>
      </c>
      <c r="H212" s="2292"/>
      <c r="I212" s="2292"/>
      <c r="J212" s="2292"/>
      <c r="K212" s="2292"/>
      <c r="L212" s="2292"/>
      <c r="M212" s="2292"/>
      <c r="N212" s="2292"/>
      <c r="O212" s="2292"/>
      <c r="P212" s="2293"/>
      <c r="Q212" s="2293"/>
      <c r="R212" s="2293"/>
      <c r="S212" s="2293"/>
      <c r="T212" s="2293"/>
      <c r="U212" s="2294" t="s">
        <v>1882</v>
      </c>
      <c r="V212" s="2294"/>
      <c r="W212" s="2294"/>
      <c r="X212" s="2294"/>
      <c r="Y212" s="2294" t="s">
        <v>1882</v>
      </c>
      <c r="Z212" s="2294"/>
      <c r="AA212" s="2294"/>
      <c r="AB212" s="2294"/>
      <c r="AC212" s="2295" t="s">
        <v>1882</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1882</v>
      </c>
      <c r="H213" s="2292"/>
      <c r="I213" s="2292"/>
      <c r="J213" s="2292"/>
      <c r="K213" s="2292"/>
      <c r="L213" s="2292"/>
      <c r="M213" s="2292"/>
      <c r="N213" s="2292"/>
      <c r="O213" s="2292"/>
      <c r="P213" s="2293"/>
      <c r="Q213" s="2293"/>
      <c r="R213" s="2293"/>
      <c r="S213" s="2293"/>
      <c r="T213" s="2293"/>
      <c r="U213" s="2294" t="s">
        <v>1882</v>
      </c>
      <c r="V213" s="2294"/>
      <c r="W213" s="2294"/>
      <c r="X213" s="2294"/>
      <c r="Y213" s="2294" t="s">
        <v>1882</v>
      </c>
      <c r="Z213" s="2294"/>
      <c r="AA213" s="2294"/>
      <c r="AB213" s="2294"/>
      <c r="AC213" s="2295" t="s">
        <v>1882</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1882</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1882</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1882</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2291</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2290</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2289</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2288</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2287</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2286</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2285</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2284</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2283</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2282</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2281</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2280</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440</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2279</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2278</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S66" sqref="S66"/>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62" t="s">
        <v>1278</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104658466</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496</v>
      </c>
      <c r="C12" s="1286"/>
      <c r="D12" s="1286"/>
      <c r="E12" s="1286"/>
      <c r="F12" s="1286"/>
      <c r="G12" s="1286"/>
      <c r="H12" s="1286"/>
      <c r="I12" s="1286"/>
      <c r="J12" s="1286"/>
      <c r="K12" s="1286"/>
      <c r="L12" s="1286"/>
      <c r="M12" s="1286"/>
      <c r="N12" s="1286"/>
      <c r="O12" s="1286"/>
      <c r="P12" s="1286"/>
      <c r="Q12" s="1286"/>
      <c r="R12" s="1286"/>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497</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498</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499</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804</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500</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50"/>
      <c r="C18" s="1814" t="s">
        <v>958</v>
      </c>
      <c r="D18" s="1814"/>
      <c r="E18" s="1814"/>
      <c r="F18" s="1814"/>
      <c r="G18" s="1814"/>
      <c r="H18" s="1814"/>
      <c r="I18" s="1814"/>
      <c r="J18" s="1814"/>
      <c r="K18" s="1814"/>
      <c r="L18" s="1814"/>
      <c r="M18" s="1814"/>
      <c r="N18" s="1814"/>
      <c r="O18" s="1814"/>
      <c r="P18" s="1814"/>
      <c r="Q18" s="1814"/>
      <c r="R18" s="1814"/>
      <c r="S18" s="1815"/>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50"/>
      <c r="C19" s="1814" t="s">
        <v>958</v>
      </c>
      <c r="D19" s="1814"/>
      <c r="E19" s="1814"/>
      <c r="F19" s="1814"/>
      <c r="G19" s="1814"/>
      <c r="H19" s="1814"/>
      <c r="I19" s="1814"/>
      <c r="J19" s="1814"/>
      <c r="K19" s="1814"/>
      <c r="L19" s="1814"/>
      <c r="M19" s="1814"/>
      <c r="N19" s="1814"/>
      <c r="O19" s="1814"/>
      <c r="P19" s="1814"/>
      <c r="Q19" s="1814"/>
      <c r="R19" s="1814"/>
      <c r="S19" s="1815"/>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501</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1261</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502</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503</v>
      </c>
      <c r="C23" s="2344"/>
      <c r="D23" s="2344"/>
      <c r="E23" s="2344"/>
      <c r="F23" s="2344"/>
      <c r="G23" s="2344"/>
      <c r="H23" s="2344"/>
      <c r="I23" s="2344"/>
      <c r="J23" s="2344"/>
      <c r="K23" s="2344"/>
      <c r="L23" s="2344"/>
      <c r="M23" s="2344"/>
      <c r="N23" s="2344"/>
      <c r="O23" s="2344"/>
      <c r="P23" s="2344"/>
      <c r="Q23" s="2344"/>
      <c r="R23" s="2344"/>
      <c r="S23" s="2345"/>
      <c r="T23" s="2336">
        <f>T11+T22</f>
        <v>104658466</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5" customHeight="1">
      <c r="B24" s="2343" t="s">
        <v>959</v>
      </c>
      <c r="C24" s="2344"/>
      <c r="D24" s="2344"/>
      <c r="E24" s="2344"/>
      <c r="F24" s="2344"/>
      <c r="G24" s="2344"/>
      <c r="H24" s="2344"/>
      <c r="I24" s="2344"/>
      <c r="J24" s="2344"/>
      <c r="K24" s="2344"/>
      <c r="L24" s="2344"/>
      <c r="M24" s="2344"/>
      <c r="N24" s="2344"/>
      <c r="O24" s="2344"/>
      <c r="P24" s="2344"/>
      <c r="Q24" s="2344"/>
      <c r="R24" s="2344"/>
      <c r="S24" s="2345"/>
      <c r="T24" s="2338">
        <f>Application!AJ1053</f>
        <v>259885674.80000001</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1262</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504</v>
      </c>
      <c r="C26" s="2344"/>
      <c r="D26" s="2344"/>
      <c r="E26" s="2344"/>
      <c r="F26" s="2344"/>
      <c r="G26" s="2344"/>
      <c r="H26" s="2344"/>
      <c r="I26" s="2344"/>
      <c r="J26" s="2344"/>
      <c r="K26" s="2344"/>
      <c r="L26" s="2344"/>
      <c r="M26" s="2344"/>
      <c r="N26" s="2344"/>
      <c r="O26" s="2344"/>
      <c r="P26" s="2344"/>
      <c r="Q26" s="2344"/>
      <c r="R26" s="2344"/>
      <c r="S26" s="2345"/>
      <c r="T26" s="2336">
        <f>T23*T25</f>
        <v>136056005.80000001</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5"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36">
        <f>IF(ISERROR((T26*T27)),0,(T26*T27))</f>
        <v>136056005.80000001</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5" customHeight="1">
      <c r="B29" s="2343" t="s">
        <v>522</v>
      </c>
      <c r="C29" s="2344"/>
      <c r="D29" s="2344"/>
      <c r="E29" s="2344"/>
      <c r="F29" s="2344"/>
      <c r="G29" s="2344"/>
      <c r="H29" s="2344"/>
      <c r="I29" s="2344"/>
      <c r="J29" s="2344"/>
      <c r="K29" s="2344"/>
      <c r="L29" s="2344"/>
      <c r="M29" s="2344"/>
      <c r="N29" s="2344"/>
      <c r="O29" s="2344"/>
      <c r="P29" s="2344"/>
      <c r="Q29" s="2344"/>
      <c r="R29" s="2344"/>
      <c r="S29" s="2345"/>
      <c r="T29" s="2338">
        <f>T28+Y28+AD28+AI28</f>
        <v>136056005.80000001</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1264</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1263</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1152</v>
      </c>
      <c r="Z35" s="2364"/>
      <c r="AA35" s="2364"/>
      <c r="AB35" s="2364"/>
      <c r="AC35" s="2364"/>
      <c r="AD35" s="2384" t="s">
        <v>369</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136056005.80000001</v>
      </c>
      <c r="Z38" s="2337"/>
      <c r="AA38" s="2337"/>
      <c r="AB38" s="2337"/>
      <c r="AC38" s="2337"/>
      <c r="AD38" s="2337">
        <f>IF(T24&gt;=(T23+Y23+AD23+AI23),AD28+AI28,0)</f>
        <v>0</v>
      </c>
      <c r="AE38" s="2337"/>
      <c r="AF38" s="2337"/>
      <c r="AG38" s="2337"/>
      <c r="AH38" s="2337"/>
    </row>
    <row r="39" spans="1:76" ht="12.95"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5442240</v>
      </c>
      <c r="Z40" s="2337"/>
      <c r="AA40" s="2337"/>
      <c r="AB40" s="2337"/>
      <c r="AC40" s="2337"/>
      <c r="AD40" s="2336">
        <f>ROUND(AD38*AD39,0)</f>
        <v>0</v>
      </c>
      <c r="AE40" s="2337"/>
      <c r="AF40" s="2337"/>
      <c r="AG40" s="2337"/>
      <c r="AH40" s="2337"/>
    </row>
    <row r="41" spans="1:76" ht="12.9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5442240</v>
      </c>
      <c r="Z41" s="2339"/>
      <c r="AA41" s="2339"/>
      <c r="AB41" s="2339"/>
      <c r="AC41" s="2339"/>
      <c r="AD41" s="2339"/>
      <c r="AE41" s="2339"/>
      <c r="AF41" s="2339"/>
      <c r="AG41" s="2339"/>
      <c r="AH41" s="233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1274</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585</v>
      </c>
      <c r="C46" s="404" t="s">
        <v>282</v>
      </c>
    </row>
    <row r="47" spans="1:76" ht="12.95" customHeight="1">
      <c r="D47" s="404" t="s">
        <v>283</v>
      </c>
      <c r="AB47" s="2353">
        <f>'Sources and Uses Budget'!B105-MAX(IF('Sources and Uses Budget'!B15="",0,'Sources and Uses Budget'!B15),IF(Application!AG394="",0,Application!AG394))</f>
        <v>112821738</v>
      </c>
      <c r="AC47" s="2354"/>
      <c r="AD47" s="2354"/>
      <c r="AE47" s="2354"/>
      <c r="AF47" s="2355"/>
    </row>
    <row r="48" spans="1:76" ht="12.95" customHeight="1">
      <c r="D48" s="404" t="s">
        <v>21</v>
      </c>
      <c r="AB48" s="2353">
        <f>Application!AO639-MAX(IF('Sources and Uses Budget'!B15="",0,'Sources and Uses Budget'!B15),IF(Application!AG394="",0,Application!AG394))</f>
        <v>68326797</v>
      </c>
      <c r="AC48" s="2354"/>
      <c r="AD48" s="2354"/>
      <c r="AE48" s="2354"/>
      <c r="AF48" s="2355"/>
    </row>
    <row r="49" spans="1:76" ht="12.95" customHeight="1">
      <c r="D49" s="404" t="s">
        <v>91</v>
      </c>
      <c r="AB49" s="2353">
        <f>AB47-AB48</f>
        <v>44494941</v>
      </c>
      <c r="AC49" s="2354"/>
      <c r="AD49" s="2354"/>
      <c r="AE49" s="2354"/>
      <c r="AF49" s="2355"/>
    </row>
    <row r="50" spans="1:76" ht="12.95" customHeight="1">
      <c r="D50" s="404" t="s">
        <v>680</v>
      </c>
      <c r="AA50" s="415"/>
      <c r="AB50" s="2380">
        <f>'[1]Data Port'!$G$401</f>
        <v>0.8175850571633636</v>
      </c>
      <c r="AC50" s="2381"/>
      <c r="AD50" s="2381"/>
      <c r="AE50" s="2381"/>
      <c r="AF50" s="2382"/>
    </row>
    <row r="51" spans="1:76" s="417" customFormat="1" ht="12.95" customHeight="1">
      <c r="A51" s="402"/>
      <c r="B51" s="402"/>
      <c r="C51" s="402"/>
      <c r="D51" s="402"/>
      <c r="E51" s="2383" t="s">
        <v>2608</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54422400</v>
      </c>
      <c r="AC54" s="2354"/>
      <c r="AD54" s="2354"/>
      <c r="AE54" s="2354"/>
      <c r="AF54" s="2355"/>
    </row>
    <row r="55" spans="1:76" ht="12.95" customHeight="1">
      <c r="D55" s="404" t="s">
        <v>333</v>
      </c>
      <c r="AB55" s="2353">
        <f>(AB54/10)</f>
        <v>5442240</v>
      </c>
      <c r="AC55" s="2354"/>
      <c r="AD55" s="2354"/>
      <c r="AE55" s="2354"/>
      <c r="AF55" s="2355"/>
    </row>
    <row r="56" spans="1:76" ht="12.95" customHeight="1">
      <c r="D56" s="404" t="s">
        <v>755</v>
      </c>
      <c r="AB56" s="2353">
        <f>ROUND((IF((Y41&lt;AB55),Y41,AB55)),0)</f>
        <v>5442240</v>
      </c>
      <c r="AC56" s="2354"/>
      <c r="AD56" s="2354"/>
      <c r="AE56" s="2354"/>
      <c r="AF56" s="2355"/>
    </row>
    <row r="57" spans="1:76" ht="12.95" customHeight="1">
      <c r="D57" s="404" t="s">
        <v>754</v>
      </c>
      <c r="AB57" s="2353">
        <f>ROUND((10*AB56*AB50),0)</f>
        <v>44494941</v>
      </c>
      <c r="AC57" s="2354"/>
      <c r="AD57" s="2354"/>
      <c r="AE57" s="2354"/>
      <c r="AF57" s="2355"/>
    </row>
    <row r="58" spans="1:76" ht="12.95" customHeight="1">
      <c r="D58" s="404"/>
      <c r="AB58" s="423"/>
      <c r="AC58" s="423"/>
      <c r="AD58" s="423"/>
      <c r="AE58" s="423"/>
      <c r="AF58" s="423"/>
    </row>
    <row r="59" spans="1:76" ht="12.95" customHeight="1">
      <c r="D59" s="404" t="s">
        <v>753</v>
      </c>
      <c r="AB59" s="2376">
        <f>AB49-AB57</f>
        <v>0</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588</v>
      </c>
      <c r="C63" s="205" t="s">
        <v>1246</v>
      </c>
      <c r="Y63" s="2377" t="s">
        <v>982</v>
      </c>
      <c r="Z63" s="2377"/>
      <c r="AA63" s="2377"/>
      <c r="AB63" s="2377"/>
      <c r="AC63" s="2377"/>
      <c r="AD63" s="2377" t="s">
        <v>369</v>
      </c>
      <c r="AE63" s="2377"/>
      <c r="AF63" s="2377"/>
      <c r="AG63" s="2377"/>
      <c r="AH63" s="2377"/>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System'!B13="Yes"),0.13,0))</f>
        <v>0</v>
      </c>
      <c r="AE67" s="2391"/>
      <c r="AF67" s="2391"/>
      <c r="AG67" s="2391"/>
      <c r="AH67" s="2391"/>
    </row>
    <row r="68" spans="1:36" ht="12.95" customHeight="1">
      <c r="C68" s="404"/>
      <c r="D68" s="205" t="s">
        <v>2221</v>
      </c>
      <c r="Y68" s="2337">
        <f>ROUND(Y64*Y67,0)</f>
        <v>0</v>
      </c>
      <c r="Z68" s="2392"/>
      <c r="AA68" s="2392"/>
      <c r="AB68" s="2392"/>
      <c r="AC68" s="2392"/>
      <c r="AD68" s="2337">
        <f>ROUND(AD64*AD67,0)</f>
        <v>0</v>
      </c>
      <c r="AE68" s="2392"/>
      <c r="AF68" s="2392"/>
      <c r="AG68" s="2392"/>
      <c r="AH68" s="2392"/>
    </row>
    <row r="69" spans="1:36" ht="12.95" customHeight="1">
      <c r="C69" s="404"/>
      <c r="D69" s="205" t="s">
        <v>2222</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1248</v>
      </c>
      <c r="AB72" s="2380"/>
      <c r="AC72" s="2381"/>
      <c r="AD72" s="2381"/>
      <c r="AE72" s="2381"/>
      <c r="AF72" s="2382"/>
    </row>
    <row r="73" spans="1:36" ht="12.95" customHeight="1">
      <c r="A73" s="404"/>
      <c r="C73" s="404"/>
      <c r="D73" s="404"/>
      <c r="E73" s="2393" t="s">
        <v>1249</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86">
        <f>ROUND(IF(ISERROR((AB59/AB72)),0,(AB59/AB72)),0)</f>
        <v>0</v>
      </c>
      <c r="AC77" s="2386"/>
      <c r="AD77" s="2386"/>
      <c r="AE77" s="2386"/>
      <c r="AF77" s="2386"/>
    </row>
    <row r="78" spans="1:36" ht="12.95" customHeight="1">
      <c r="C78" s="404"/>
      <c r="D78" s="205" t="s">
        <v>1251</v>
      </c>
      <c r="AB78" s="2387">
        <f>ROUNDUP(MIN(Y69,AB77),0)</f>
        <v>0</v>
      </c>
      <c r="AC78" s="2388"/>
      <c r="AD78" s="2388"/>
      <c r="AE78" s="2388"/>
      <c r="AF78" s="2389"/>
    </row>
    <row r="79" spans="1:36" ht="12.95" customHeight="1">
      <c r="C79" s="404"/>
      <c r="D79" s="205" t="s">
        <v>1252</v>
      </c>
      <c r="AB79" s="2390">
        <f>AB78*AB72</f>
        <v>0</v>
      </c>
      <c r="AC79" s="2390"/>
      <c r="AD79" s="2390"/>
      <c r="AE79" s="2390"/>
      <c r="AF79" s="2390"/>
    </row>
    <row r="80" spans="1:36" ht="12.95" customHeight="1">
      <c r="C80" s="404"/>
      <c r="D80" s="404"/>
      <c r="AB80" s="425"/>
      <c r="AC80" s="425"/>
      <c r="AD80" s="425"/>
      <c r="AE80" s="425"/>
      <c r="AF80" s="425"/>
    </row>
    <row r="81" spans="1:78" ht="12.95" customHeight="1">
      <c r="D81" s="404" t="s">
        <v>753</v>
      </c>
      <c r="AB81" s="2376">
        <f>AB49-(AB57+AB79)</f>
        <v>0</v>
      </c>
      <c r="AC81" s="2376"/>
      <c r="AD81" s="2376"/>
      <c r="AE81" s="2376"/>
      <c r="AF81" s="2376"/>
    </row>
    <row r="82" spans="1:78" ht="12.95" customHeight="1">
      <c r="F82" s="522"/>
      <c r="J82" s="522" t="str">
        <f>IF(AB81&gt;0,"FUNDING GAP MUST NOT EXCEED ZERO","")</f>
        <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customHeight="1">
      <c r="A86" s="404"/>
      <c r="C86" s="205"/>
    </row>
    <row r="87" spans="1:78" ht="12.95" customHeight="1">
      <c r="D87" s="205"/>
      <c r="AB87" s="2342"/>
      <c r="AC87" s="2342"/>
      <c r="AD87" s="2342"/>
      <c r="AE87" s="2342"/>
      <c r="AF87" s="2342"/>
    </row>
    <row r="88" spans="1:78" ht="12.9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7" zoomScale="85" zoomScaleNormal="85" workbookViewId="0">
      <selection activeCell="E104" sqref="E104:H10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4" t="s">
        <v>1298</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1303</v>
      </c>
      <c r="AF7" s="2465"/>
      <c r="AG7" s="2465"/>
      <c r="AH7" s="2465"/>
      <c r="AI7" s="2465"/>
      <c r="AJ7" s="2465"/>
      <c r="AK7" s="2465"/>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590</v>
      </c>
      <c r="C13" s="2618"/>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544</v>
      </c>
      <c r="C16" s="2618"/>
      <c r="D16" s="547"/>
      <c r="E16" s="2610" t="s">
        <v>1305</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590</v>
      </c>
      <c r="C22" s="2618"/>
      <c r="D22" s="547"/>
      <c r="E22" s="2628" t="s">
        <v>1308</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590</v>
      </c>
      <c r="C25" s="2618"/>
      <c r="D25" s="547"/>
      <c r="E25" s="2545" t="s">
        <v>2031</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590</v>
      </c>
      <c r="C28" s="2618"/>
      <c r="D28" s="547"/>
      <c r="E28" s="2647" t="s">
        <v>2245</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8" t="s">
        <v>590</v>
      </c>
      <c r="C33" s="2618"/>
      <c r="D33" s="547"/>
      <c r="E33" s="2628" t="s">
        <v>2247</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590</v>
      </c>
      <c r="C36" s="2618"/>
      <c r="D36" s="547"/>
      <c r="E36" s="2545" t="s">
        <v>2248</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590</v>
      </c>
      <c r="C40" s="2618"/>
      <c r="D40" s="547"/>
      <c r="E40" s="2545" t="s">
        <v>2246</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590</v>
      </c>
      <c r="C45" s="2618"/>
      <c r="D45" s="1142"/>
      <c r="E45" s="2545" t="s">
        <v>2006</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590</v>
      </c>
      <c r="C52" s="2618"/>
      <c r="D52" s="540"/>
      <c r="E52" s="2545" t="s">
        <v>2011</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590</v>
      </c>
      <c r="C56" s="2618"/>
      <c r="D56" s="540"/>
      <c r="E56" s="2644" t="s">
        <v>2012</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590</v>
      </c>
      <c r="C58" s="2618"/>
      <c r="D58" s="540"/>
      <c r="E58" s="2545" t="s">
        <v>2013</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1312</v>
      </c>
      <c r="AF65" s="2465"/>
      <c r="AG65" s="2465"/>
      <c r="AH65" s="2465"/>
      <c r="AI65" s="2465"/>
      <c r="AJ65" s="2465"/>
      <c r="AK65" s="2465"/>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590</v>
      </c>
      <c r="C68" s="2618"/>
      <c r="D68" s="547" t="s">
        <v>1313</v>
      </c>
      <c r="E68" s="2610" t="s">
        <v>2014</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10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1314</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544</v>
      </c>
      <c r="C74" s="2618"/>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544</v>
      </c>
      <c r="F75" s="2618"/>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590</v>
      </c>
      <c r="F76" s="263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590</v>
      </c>
      <c r="F77" s="263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590</v>
      </c>
      <c r="F79" s="2618"/>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590</v>
      </c>
      <c r="C81" s="2618"/>
      <c r="D81" s="547" t="s">
        <v>1318</v>
      </c>
      <c r="E81" s="2545" t="s">
        <v>1738</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1303</v>
      </c>
      <c r="AF87" s="2465"/>
      <c r="AG87" s="2465"/>
      <c r="AH87" s="2465"/>
      <c r="AI87" s="2465"/>
      <c r="AJ87" s="2465"/>
      <c r="AK87" s="2465"/>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590</v>
      </c>
      <c r="C90" s="2618"/>
      <c r="D90" s="547" t="s">
        <v>1313</v>
      </c>
      <c r="E90" s="2610" t="s">
        <v>1323</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0.58947368421052626</v>
      </c>
      <c r="F93" s="2607"/>
      <c r="G93" s="2607"/>
      <c r="H93" s="2607"/>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1.0000000000000009E-2</v>
      </c>
      <c r="F94" s="2412"/>
      <c r="G94" s="2412"/>
      <c r="H94" s="2412"/>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2.0000000000000018</v>
      </c>
      <c r="F95" s="2623"/>
      <c r="G95" s="2623"/>
      <c r="H95" s="2623"/>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544</v>
      </c>
      <c r="C98" s="2618"/>
      <c r="D98" s="547" t="s">
        <v>1315</v>
      </c>
      <c r="E98" s="2610" t="s">
        <v>1723</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0.58947368421052626</v>
      </c>
      <c r="F103" s="2607"/>
      <c r="G103" s="2607"/>
      <c r="H103" s="2607"/>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0.1023391812865497</v>
      </c>
      <c r="F104" s="2607"/>
      <c r="G104" s="2607"/>
      <c r="H104" s="2607"/>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0.1023391812865497</v>
      </c>
      <c r="F105" s="2607"/>
      <c r="G105" s="2607"/>
      <c r="H105" s="2607"/>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1312</v>
      </c>
      <c r="AF112" s="2465"/>
      <c r="AG112" s="2465"/>
      <c r="AH112" s="2465"/>
      <c r="AI112" s="2465"/>
      <c r="AJ112" s="2465"/>
      <c r="AK112" s="2465"/>
      <c r="AL112" s="540"/>
      <c r="AM112" s="540"/>
      <c r="AN112" s="535"/>
      <c r="AO112" s="536" t="str">
        <f>Application!B718</f>
        <v>SRO/Studio</v>
      </c>
      <c r="AQ112" s="536">
        <f>Application!O718</f>
        <v>712</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1241</v>
      </c>
    </row>
    <row r="115" spans="1:52" s="536" customFormat="1" ht="12.75" customHeight="1">
      <c r="A115" s="540"/>
      <c r="B115" s="2618" t="s">
        <v>544</v>
      </c>
      <c r="C115" s="2618"/>
      <c r="D115" s="547" t="s">
        <v>1313</v>
      </c>
      <c r="E115" s="2610" t="s">
        <v>1855</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SRO/Studio</v>
      </c>
      <c r="AQ115" s="536">
        <f>Application!O721</f>
        <v>0</v>
      </c>
      <c r="AU115" s="536" t="s">
        <v>1838</v>
      </c>
      <c r="AV115" s="595" t="s">
        <v>1839</v>
      </c>
      <c r="AW115" s="536" t="s">
        <v>1840</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SRO/Studio</v>
      </c>
      <c r="AQ116" s="536">
        <f>Application!O722</f>
        <v>0</v>
      </c>
      <c r="AU116" s="856" t="str">
        <f>E124</f>
        <v>Studio/SRO</v>
      </c>
      <c r="AV116" s="536">
        <f t="array" ref="AV116">SUM(IF(Application!B718:F752="SRO/Studio",Application!G718:J752))</f>
        <v>68</v>
      </c>
      <c r="AW116" s="1011">
        <f>AV116/AV122</f>
        <v>0.19883040935672514</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SRO/Studio</v>
      </c>
      <c r="AQ117" s="536">
        <f>Application!O723</f>
        <v>0</v>
      </c>
      <c r="AU117" s="856" t="str">
        <f>J124</f>
        <v>1-bedroom</v>
      </c>
      <c r="AV117" s="536">
        <f t="array" ref="AV117">SUM(IF(Application!B718:F752="1 Bedroom",Application!G718:J752))</f>
        <v>224</v>
      </c>
      <c r="AW117" s="1011">
        <f>AV117/AV122</f>
        <v>0.65497076023391809</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1 Bedroom</v>
      </c>
      <c r="AQ118" s="536">
        <f>Application!O724</f>
        <v>0</v>
      </c>
      <c r="AU118" s="856" t="str">
        <f>O124</f>
        <v>2-bedroom</v>
      </c>
      <c r="AV118" s="536">
        <f t="array" ref="AV118">SUM(IF(Application!B718:F752="2 Bedrooms",Application!G718:J752))</f>
        <v>50</v>
      </c>
      <c r="AW118" s="1011">
        <f>AV118/AV122</f>
        <v>0.14619883040935672</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1 Bedroom</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1 Bedroom</v>
      </c>
      <c r="AQ120" s="536">
        <f>Application!O726</f>
        <v>1318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t="str">
        <f>Application!B727</f>
        <v>1 Bedroom</v>
      </c>
      <c r="AQ121" s="536">
        <f>Application!O727</f>
        <v>1602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t="str">
        <f>Application!B728</f>
        <v>1 Bedroom</v>
      </c>
      <c r="AQ122" s="536">
        <f>Application!O728</f>
        <v>1885</v>
      </c>
      <c r="AV122" s="536">
        <f>SUM(AV116:AV121)</f>
        <v>342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Application!O729</f>
        <v>0</v>
      </c>
    </row>
    <row r="124" spans="1:52" s="536" customFormat="1" ht="12.75" customHeight="1">
      <c r="A124" s="540"/>
      <c r="B124" s="539"/>
      <c r="C124" s="540"/>
      <c r="D124" s="540"/>
      <c r="E124" s="2606" t="s">
        <v>1586</v>
      </c>
      <c r="F124" s="2607"/>
      <c r="G124" s="2607"/>
      <c r="H124" s="2607"/>
      <c r="I124" s="577"/>
      <c r="J124" s="2607" t="s">
        <v>1629</v>
      </c>
      <c r="K124" s="2607"/>
      <c r="L124" s="2607"/>
      <c r="M124" s="2607"/>
      <c r="N124" s="577"/>
      <c r="O124" s="2607" t="s">
        <v>1630</v>
      </c>
      <c r="P124" s="2607"/>
      <c r="Q124" s="2607"/>
      <c r="R124" s="2607"/>
      <c r="S124" s="577"/>
      <c r="T124" s="2607" t="s">
        <v>1332</v>
      </c>
      <c r="U124" s="2607"/>
      <c r="V124" s="2607"/>
      <c r="W124" s="2607"/>
      <c r="X124" s="577"/>
      <c r="Y124" s="2607" t="s">
        <v>1631</v>
      </c>
      <c r="Z124" s="2607"/>
      <c r="AA124" s="2607"/>
      <c r="AB124" s="2607"/>
      <c r="AC124" s="577"/>
      <c r="AD124" s="2607" t="s">
        <v>1632</v>
      </c>
      <c r="AE124" s="2607"/>
      <c r="AF124" s="2607"/>
      <c r="AG124" s="2607"/>
      <c r="AH124" s="577"/>
      <c r="AI124" s="577"/>
      <c r="AJ124" s="579"/>
      <c r="AK124" s="540"/>
      <c r="AL124" s="540"/>
      <c r="AM124" s="540"/>
      <c r="AN124" s="535"/>
      <c r="AO124" s="536" t="str">
        <f>Application!B730</f>
        <v>2 Bedrooms</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0</v>
      </c>
    </row>
    <row r="127" spans="1:52" s="536" customFormat="1" ht="12.75" customHeight="1">
      <c r="A127" s="540"/>
      <c r="B127" s="539"/>
      <c r="C127" s="540"/>
      <c r="D127" s="540"/>
      <c r="E127" s="2608">
        <v>2067</v>
      </c>
      <c r="F127" s="2609"/>
      <c r="G127" s="2609"/>
      <c r="H127" s="2609"/>
      <c r="I127" s="864"/>
      <c r="J127" s="2609">
        <v>2208</v>
      </c>
      <c r="K127" s="2609"/>
      <c r="L127" s="2609"/>
      <c r="M127" s="2609"/>
      <c r="N127" s="864"/>
      <c r="O127" s="2609">
        <v>3078</v>
      </c>
      <c r="P127" s="2609"/>
      <c r="Q127" s="2609"/>
      <c r="R127" s="2609"/>
      <c r="S127" s="864"/>
      <c r="T127" s="2609"/>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t="str">
        <f>Application!B733</f>
        <v>2 Bedrooms</v>
      </c>
      <c r="AQ127" s="536">
        <f>Application!O733</f>
        <v>1904</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2245</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968.72058823529414</v>
      </c>
      <c r="F130" s="2617"/>
      <c r="G130" s="2617"/>
      <c r="H130" s="2617"/>
      <c r="I130" s="864"/>
      <c r="J130" s="2617">
        <f>Application!EC670</f>
        <v>1675.2678571428571</v>
      </c>
      <c r="K130" s="2617"/>
      <c r="L130" s="2617"/>
      <c r="M130" s="2617"/>
      <c r="N130" s="864"/>
      <c r="O130" s="2617">
        <f>Application!EH670</f>
        <v>2204.08</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t="str">
        <f>Application!B736</f>
        <v>3 Bedrooms</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0</v>
      </c>
      <c r="AU132" s="1009"/>
      <c r="AV132" s="1009"/>
      <c r="AW132" s="1010"/>
      <c r="AX132" s="1010"/>
      <c r="AY132" s="1009"/>
      <c r="AZ132" s="1009"/>
    </row>
    <row r="133" spans="1:52" s="536" customFormat="1" ht="12.75" customHeight="1">
      <c r="A133" s="540"/>
      <c r="B133" s="539"/>
      <c r="C133" s="540"/>
      <c r="D133" s="540"/>
      <c r="E133" s="2411">
        <f>(E127-E130)/E127</f>
        <v>0.53133982185036566</v>
      </c>
      <c r="F133" s="2412"/>
      <c r="G133" s="2412"/>
      <c r="H133" s="2413"/>
      <c r="I133" s="577"/>
      <c r="J133" s="2411">
        <f>(J127-J130)/J127</f>
        <v>0.24127361542443065</v>
      </c>
      <c r="K133" s="2412"/>
      <c r="L133" s="2412"/>
      <c r="M133" s="2413"/>
      <c r="N133" s="577"/>
      <c r="O133" s="2411">
        <f>(O127-O130)/O127</f>
        <v>0.28392462638076676</v>
      </c>
      <c r="P133" s="2412"/>
      <c r="Q133" s="2412"/>
      <c r="R133" s="2413"/>
      <c r="S133" s="577"/>
      <c r="T133" s="2411" t="e">
        <f>(T127-T130)/T127</f>
        <v>#DIV/0!</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t="str">
        <f>Application!B739</f>
        <v>3 Bedrooms</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Application!O741</f>
        <v>0</v>
      </c>
      <c r="AU135" s="1010"/>
      <c r="AV135" s="1009"/>
      <c r="AW135" s="1010"/>
      <c r="AX135" s="1010"/>
      <c r="AY135" s="1009"/>
      <c r="AZ135" s="1009"/>
    </row>
    <row r="136" spans="1:52" s="536" customFormat="1" ht="12.75" customHeight="1">
      <c r="A136" s="540"/>
      <c r="B136" s="539"/>
      <c r="C136" s="540"/>
      <c r="D136" s="540"/>
      <c r="E136" s="2619">
        <f>IF(((E133-0.1)*AW116)&gt;0,((E133-0.1)*AW116),0)</f>
        <v>8.5763473350365105E-2</v>
      </c>
      <c r="F136" s="2620"/>
      <c r="G136" s="2620"/>
      <c r="H136" s="2621"/>
      <c r="I136" s="577"/>
      <c r="J136" s="2619">
        <f>IF(((J133-0.1)*AW117)&gt;0,((J133-0.1)*AW117),0)</f>
        <v>9.2530087295533525E-2</v>
      </c>
      <c r="K136" s="2620"/>
      <c r="L136" s="2620"/>
      <c r="M136" s="2621"/>
      <c r="N136" s="577"/>
      <c r="O136" s="2619">
        <f>IF(((O133-0.1)*AW118)&gt;0,((O133-0.1)*AW118),0)</f>
        <v>2.6889565260346016E-2</v>
      </c>
      <c r="P136" s="2620"/>
      <c r="Q136" s="2620"/>
      <c r="R136" s="2621"/>
      <c r="S136" s="577"/>
      <c r="T136" s="2619" t="e">
        <f>IF(((T133-0.1)*AW119)&gt;0,((T133-0.1)*AW119),0)</f>
        <v>#DIV/0!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0.2</v>
      </c>
      <c r="F138" s="2412"/>
      <c r="G138" s="2412"/>
      <c r="H138" s="2413"/>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5" t="s">
        <v>1312</v>
      </c>
      <c r="AF146" s="2465"/>
      <c r="AG146" s="2465"/>
      <c r="AH146" s="2465"/>
      <c r="AI146" s="2465"/>
      <c r="AJ146" s="2465"/>
      <c r="AK146" s="246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1336</v>
      </c>
      <c r="AG148" s="2525"/>
      <c r="AH148" s="2525"/>
      <c r="AI148" s="2525"/>
      <c r="AJ148" s="2525"/>
      <c r="AK148" s="2525"/>
      <c r="AL148" s="252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tr">
        <f>'[1]Data Port'!$G$99</f>
        <v>Community Revitalization and Development Corporation</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6" t="s">
        <v>1339</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2249</v>
      </c>
      <c r="AP154" s="489">
        <v>7</v>
      </c>
    </row>
    <row r="155" spans="1:42" s="536" customFormat="1" ht="12.75" customHeight="1">
      <c r="A155" s="538"/>
      <c r="B155" s="539" t="s">
        <v>1340</v>
      </c>
      <c r="AB155" s="2397" t="s">
        <v>590</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6" t="s">
        <v>1341</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2472</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2471</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590</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1350</v>
      </c>
      <c r="AG168" s="2525"/>
      <c r="AH168" s="2525"/>
      <c r="AI168" s="2525"/>
      <c r="AJ168" s="2525"/>
      <c r="AK168" s="2525"/>
      <c r="AL168" s="252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1348</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590</v>
      </c>
      <c r="AG172" s="2397"/>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2165</v>
      </c>
      <c r="AP173" s="599">
        <v>3</v>
      </c>
    </row>
    <row r="174" spans="1:42" s="550" customFormat="1" ht="12.75" customHeight="1">
      <c r="A174" s="536"/>
      <c r="B174" s="536"/>
      <c r="C174" s="2596" t="s">
        <v>1341</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7" t="str">
        <f>Application!AA335</f>
        <v>FPI Management</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1312</v>
      </c>
      <c r="AF186" s="2465"/>
      <c r="AG186" s="2465"/>
      <c r="AH186" s="2465"/>
      <c r="AI186" s="2465"/>
      <c r="AJ186" s="2465"/>
      <c r="AK186" s="2465"/>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4" t="str">
        <f>'[1]Data Port'!$G$51</f>
        <v xml:space="preserve">A project scoring maximum New Construction Density and Local Incentives points under Section 5230(c) </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1361</v>
      </c>
      <c r="AG188" s="2525"/>
      <c r="AH188" s="2525"/>
      <c r="AI188" s="2525"/>
      <c r="AJ188" s="2525"/>
      <c r="AK188" s="2525"/>
      <c r="AL188" s="2525"/>
      <c r="AN188" s="597"/>
      <c r="AP188" s="550" t="s">
        <v>1041</v>
      </c>
      <c r="AQ188" s="550">
        <v>10</v>
      </c>
    </row>
    <row r="189" spans="1:73" s="550" customFormat="1" ht="12.75" customHeight="1">
      <c r="A189" s="536"/>
      <c r="B189" s="2396" t="s">
        <v>1724</v>
      </c>
      <c r="C189" s="2396"/>
      <c r="D189" s="2396"/>
      <c r="E189" s="2396"/>
      <c r="F189" s="2396"/>
      <c r="G189" s="2396"/>
      <c r="H189" s="2396"/>
      <c r="I189" s="2396"/>
      <c r="J189" s="2396"/>
      <c r="K189" s="2396"/>
      <c r="L189" s="2396"/>
      <c r="M189" s="2396"/>
      <c r="N189" s="2396"/>
      <c r="O189" s="2396"/>
      <c r="P189" s="2396"/>
      <c r="Q189" s="2396"/>
      <c r="R189" s="2396"/>
      <c r="S189" s="2396"/>
      <c r="T189" s="2595" t="s">
        <v>590</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32">
        <f>IF(AK84&gt;0,VLOOKUP($B$188,AP185:AQ191,2,FALSE),0)</f>
        <v>10</v>
      </c>
      <c r="AL191" s="2433"/>
      <c r="AM191" s="2434"/>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1370</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tr">
        <f>'[1]Data Port'!$G$370</f>
        <v>Keybank National Bank (TE Recyled bonds)</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f>'[1]Data Port'!$G$378</f>
        <v>10108828</v>
      </c>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1625</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1588</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2">
        <f>SUM(AD199:AJ209)-AD210</f>
        <v>10108828</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1605</v>
      </c>
      <c r="J222" s="2601"/>
      <c r="K222" s="2601"/>
      <c r="L222" s="536"/>
      <c r="M222" s="536"/>
      <c r="N222" s="536"/>
      <c r="O222" s="536"/>
      <c r="P222" s="536"/>
      <c r="Q222" s="536"/>
      <c r="R222" s="536"/>
      <c r="S222" s="536"/>
      <c r="T222" s="2416" t="s">
        <v>1599</v>
      </c>
      <c r="U222" s="2416"/>
      <c r="V222" s="2416"/>
      <c r="W222" s="2416"/>
      <c r="X222" s="2416"/>
      <c r="Y222" s="2416"/>
      <c r="Z222" s="849"/>
      <c r="AA222" s="489"/>
      <c r="AB222" s="2598" t="s">
        <v>1600</v>
      </c>
      <c r="AC222" s="2598"/>
      <c r="AD222" s="2598"/>
      <c r="AE222" s="2598"/>
      <c r="AF222" s="2598"/>
      <c r="AG222" s="2598"/>
      <c r="AH222" s="827"/>
      <c r="AI222" s="827"/>
      <c r="AJ222" s="827"/>
      <c r="AK222" s="610"/>
    </row>
    <row r="223" spans="1:37">
      <c r="A223" s="605"/>
      <c r="B223" s="2599" t="s">
        <v>1585</v>
      </c>
      <c r="C223" s="2599"/>
      <c r="D223" s="2599"/>
      <c r="E223" s="2599"/>
      <c r="F223" s="2599"/>
      <c r="G223" s="2599"/>
      <c r="I223" s="2600" t="s">
        <v>1606</v>
      </c>
      <c r="J223" s="2600"/>
      <c r="K223" s="2600"/>
      <c r="L223" s="1008"/>
      <c r="N223" s="2451" t="s">
        <v>1601</v>
      </c>
      <c r="O223" s="2451"/>
      <c r="P223" s="2451"/>
      <c r="Q223" s="2451"/>
      <c r="R223" s="2451"/>
      <c r="T223" s="2451" t="s">
        <v>1602</v>
      </c>
      <c r="U223" s="2451"/>
      <c r="V223" s="2451"/>
      <c r="W223" s="2451"/>
      <c r="X223" s="2451"/>
      <c r="Y223" s="2451"/>
      <c r="Z223" s="850"/>
      <c r="AA223" s="489"/>
      <c r="AB223" s="2466" t="s">
        <v>1603</v>
      </c>
      <c r="AC223" s="2466"/>
      <c r="AD223" s="2466"/>
      <c r="AE223" s="2466"/>
      <c r="AF223" s="2466"/>
      <c r="AG223" s="2466"/>
      <c r="AH223" s="827"/>
      <c r="AI223" s="827"/>
      <c r="AJ223" s="827"/>
      <c r="AK223" s="610"/>
    </row>
    <row r="224" spans="1:37">
      <c r="A224" s="605"/>
      <c r="B224" s="2467" t="s">
        <v>1182</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1182</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1182</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1182</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1182</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1182</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1182</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1182</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1182</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1182</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10108828</v>
      </c>
      <c r="AH268" s="2429"/>
      <c r="AI268" s="2429"/>
      <c r="AJ268" s="2429"/>
      <c r="AK268" s="2429"/>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112821738</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0.08</v>
      </c>
      <c r="AH270" s="2575"/>
      <c r="AI270" s="2575"/>
      <c r="AJ270" s="2575"/>
      <c r="AK270" s="2575"/>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4">
        <f>IFERROR(IF(AG270=0,0,IF((AG270*100)&gt;8,8,(AG270*100))),0)</f>
        <v>8</v>
      </c>
      <c r="AL273" s="2564"/>
      <c r="AM273" s="256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6" t="s">
        <v>544</v>
      </c>
      <c r="D278" s="2446"/>
      <c r="E278" s="547"/>
      <c r="F278" s="2398" t="s">
        <v>2022</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1361</v>
      </c>
      <c r="AH278" s="2573"/>
      <c r="AI278" s="2573"/>
      <c r="AJ278" s="2573"/>
      <c r="AK278" s="550"/>
      <c r="AL278" s="550"/>
      <c r="AM278" s="550"/>
      <c r="AO278" s="550"/>
    </row>
    <row r="279" spans="1:52" ht="13.7"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4">
        <f>IF($C$278="yes",10,0)</f>
        <v>10</v>
      </c>
      <c r="AL285" s="2564"/>
      <c r="AM285" s="256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1380</v>
      </c>
      <c r="B292" s="1638"/>
      <c r="C292" s="2397" t="str">
        <f>IF('[1]Data Port'!$D$52="Large Family","Yes","N/A")</f>
        <v>N/A</v>
      </c>
      <c r="D292" s="2446"/>
      <c r="E292" s="547"/>
      <c r="F292" s="2566" t="s">
        <v>1381</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2015</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4" t="s">
        <v>2023</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1382</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1383</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1384</v>
      </c>
      <c r="B302" s="1638"/>
      <c r="C302" s="2446" t="str">
        <f>IF('[1]Data Port'!$D$52="Large Family","N/A","Yes")</f>
        <v>Yes</v>
      </c>
      <c r="D302" s="244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8" t="s">
        <v>2017</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1387</v>
      </c>
      <c r="B310" s="1638"/>
      <c r="C310" s="2446" t="s">
        <v>590</v>
      </c>
      <c r="D310" s="244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4" t="s">
        <v>2024</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1182</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1182</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57" t="s">
        <v>1182</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7" t="s">
        <v>1182</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38" t="s">
        <v>1390</v>
      </c>
      <c r="B333" s="1638"/>
      <c r="C333" s="2446" t="s">
        <v>590</v>
      </c>
      <c r="D333" s="2446"/>
      <c r="E333" s="547"/>
      <c r="F333" s="2545" t="s">
        <v>2025</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32">
        <f>IF(NOT(OR(Application!M355="Yes",Application!M356="Yes")),0,AP295)</f>
        <v>9</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65" t="s">
        <v>1312</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1452</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6"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2090</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2204</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1453</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3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1454</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7</v>
      </c>
      <c r="AS359" s="539" t="s">
        <v>1455</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580</v>
      </c>
      <c r="AP361" s="696">
        <f>IF(C407="Yes",5,0)</f>
        <v>0</v>
      </c>
      <c r="AS361" s="539" t="s">
        <v>1876</v>
      </c>
    </row>
    <row r="362" spans="1:46" s="550" customFormat="1" ht="12.75" customHeight="1">
      <c r="A362" s="603"/>
      <c r="B362" s="611"/>
      <c r="C362" s="2535" t="s">
        <v>2228</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583</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6"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41" t="s">
        <v>1456</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455</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460</v>
      </c>
      <c r="AP370" s="696">
        <f>IF(C449="Yes",5,0)</f>
        <v>0</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645</v>
      </c>
      <c r="AP371" s="701">
        <f>IF(C453="Yes",5,0)</f>
        <v>0</v>
      </c>
    </row>
    <row r="372" spans="1:81" s="550" customFormat="1" ht="12.6"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2207</v>
      </c>
      <c r="D373" s="703"/>
      <c r="E373" s="703"/>
      <c r="F373" s="703"/>
      <c r="G373" s="703"/>
      <c r="H373" s="703"/>
      <c r="I373" s="703"/>
      <c r="J373" s="703"/>
      <c r="K373" s="703"/>
      <c r="L373" s="703"/>
      <c r="M373" s="667"/>
      <c r="N373" s="667"/>
      <c r="O373" s="704"/>
      <c r="P373" s="703"/>
      <c r="Q373" s="703"/>
      <c r="R373" s="667"/>
      <c r="S373" s="667"/>
      <c r="T373" s="703"/>
      <c r="U373" s="2442">
        <f>Application!DU802-U374</f>
        <v>392</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2208</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4">
        <f>IF(AP375&gt;0,AP375,0)</f>
        <v>0</v>
      </c>
      <c r="AR375" s="2444"/>
    </row>
    <row r="376" spans="1:81" s="550" customFormat="1" ht="12.75" customHeight="1">
      <c r="A376" s="603"/>
      <c r="B376" s="14"/>
      <c r="C376" s="712" t="s">
        <v>2205</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5" t="s">
        <v>1458</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590</v>
      </c>
      <c r="D381" s="244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1460</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5" t="s">
        <v>1461</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590</v>
      </c>
      <c r="D389" s="244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1460</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5" t="s">
        <v>1463</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544</v>
      </c>
      <c r="D397" s="244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1465</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590</v>
      </c>
      <c r="D399" s="244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1460</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5" t="s">
        <v>1469</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590</v>
      </c>
      <c r="D407" s="244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1460</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544</v>
      </c>
      <c r="D409" s="244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1472</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590</v>
      </c>
      <c r="D412" s="2446"/>
      <c r="E412" s="715" t="s">
        <v>1473</v>
      </c>
      <c r="F412" s="2435" t="s">
        <v>1474</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1460</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5" t="s">
        <v>1476</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590</v>
      </c>
      <c r="D421" s="244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1460</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590</v>
      </c>
      <c r="D423" s="244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1472</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2206</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5" t="s">
        <v>1480</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6"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590</v>
      </c>
      <c r="D430" s="244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1460</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1482</v>
      </c>
      <c r="F433" s="2435" t="s">
        <v>1483</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590</v>
      </c>
      <c r="D442" s="244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1460</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5" t="s">
        <v>1486</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590</v>
      </c>
      <c r="D449" s="244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1460</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590</v>
      </c>
      <c r="D453" s="2562"/>
      <c r="E453" s="715" t="s">
        <v>1495</v>
      </c>
      <c r="F453" s="2435" t="s">
        <v>1496</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1460</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850000000000001"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590</v>
      </c>
      <c r="D457" s="2446"/>
      <c r="E457" s="715" t="s">
        <v>1501</v>
      </c>
      <c r="F457" s="2435" t="s">
        <v>1502</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1460</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5" t="s">
        <v>1505</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590</v>
      </c>
      <c r="D466" s="244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1460</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447" t="s">
        <v>1509</v>
      </c>
      <c r="AF472" s="2447"/>
      <c r="AG472" s="2447"/>
      <c r="AH472" s="2447"/>
      <c r="AI472" s="2447"/>
      <c r="AJ472" s="2447"/>
      <c r="AK472" s="2447"/>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4" t="s">
        <v>590</v>
      </c>
      <c r="D478" s="2455"/>
      <c r="E478" s="761" t="s">
        <v>506</v>
      </c>
      <c r="F478" s="2532" t="s">
        <v>1515</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60" t="s">
        <v>590</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1" t="s">
        <v>544</v>
      </c>
      <c r="D482" s="2462"/>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40" t="s">
        <v>590</v>
      </c>
      <c r="W485" s="2440"/>
      <c r="X485" s="244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40" t="s">
        <v>590</v>
      </c>
      <c r="W487" s="2440"/>
      <c r="X487" s="244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40" t="s">
        <v>590</v>
      </c>
      <c r="W492" s="2440"/>
      <c r="X492" s="244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9"/>
      <c r="E495" s="2459"/>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40" t="s">
        <v>590</v>
      </c>
      <c r="W496" s="2440"/>
      <c r="X496" s="244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40" t="s">
        <v>590</v>
      </c>
      <c r="W498" s="2440"/>
      <c r="X498" s="244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590</v>
      </c>
      <c r="D501" s="2455"/>
      <c r="E501" s="761" t="s">
        <v>506</v>
      </c>
      <c r="F501" s="2532" t="s">
        <v>1515</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590</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590</v>
      </c>
      <c r="D505" s="2455"/>
      <c r="E505" s="761" t="s">
        <v>756</v>
      </c>
      <c r="F505" s="2456" t="s">
        <v>1537</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590</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590</v>
      </c>
      <c r="D510" s="2455"/>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590</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590</v>
      </c>
      <c r="D515" s="2527"/>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590</v>
      </c>
      <c r="D519" s="2527"/>
      <c r="F519" s="795" t="s">
        <v>1545</v>
      </c>
      <c r="G519" s="2436" t="s">
        <v>1546</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590</v>
      </c>
      <c r="D523" s="2529"/>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590</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1558</v>
      </c>
      <c r="AF538" s="2465"/>
      <c r="AG538" s="2465"/>
      <c r="AH538" s="2465"/>
      <c r="AI538" s="2465"/>
      <c r="AJ538" s="2465"/>
      <c r="AK538" s="2465"/>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544</v>
      </c>
      <c r="D541" s="2446"/>
      <c r="E541" s="551"/>
      <c r="F541" s="2468" t="s">
        <v>1559</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590</v>
      </c>
      <c r="D544" s="244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1561</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1562</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173257116</v>
      </c>
      <c r="AQ550" s="2423"/>
      <c r="AR550" s="2423"/>
      <c r="AS550" s="550" t="s">
        <v>2166</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104658466</v>
      </c>
      <c r="AG551" s="2429"/>
      <c r="AH551" s="2429"/>
      <c r="AI551" s="2429"/>
      <c r="AJ551" s="2429"/>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259885674.80000001</v>
      </c>
      <c r="AG552" s="2430"/>
      <c r="AH552" s="2430"/>
      <c r="AI552" s="2430"/>
      <c r="AJ552" s="2430"/>
      <c r="AK552" s="595"/>
      <c r="AL552" s="595"/>
      <c r="AM552" s="595"/>
      <c r="AN552" s="597"/>
      <c r="AP552" s="2423">
        <f>Application!AJ1045</f>
        <v>17325711.600000001</v>
      </c>
      <c r="AQ552" s="2423"/>
      <c r="AR552" s="24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0.59</v>
      </c>
      <c r="AG553" s="2431"/>
      <c r="AH553" s="2431"/>
      <c r="AI553" s="2431"/>
      <c r="AJ553" s="2431"/>
      <c r="AK553" s="595"/>
      <c r="AL553" s="595"/>
      <c r="AM553" s="595"/>
      <c r="AN553" s="597"/>
      <c r="AP553" s="2419">
        <f>Application!AJ1049</f>
        <v>34651423.200000003</v>
      </c>
      <c r="AQ553" s="2419"/>
      <c r="AR553" s="2419"/>
      <c r="AS553" s="550" t="s">
        <v>2167</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0.30000000000000004</v>
      </c>
      <c r="AQ554" s="2438"/>
      <c r="AR554" s="2438"/>
      <c r="AS554" s="550" t="s">
        <v>2168</v>
      </c>
    </row>
    <row r="555" spans="1:49" s="550" customFormat="1" ht="12.75" customHeight="1">
      <c r="A555" s="624"/>
      <c r="B555" s="2505" t="s">
        <v>2029</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207908540</v>
      </c>
      <c r="AQ556" s="2439"/>
      <c r="AR556" s="2439"/>
      <c r="AS556" s="550" t="s">
        <v>2170</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259885674.80000001</v>
      </c>
      <c r="AQ557" s="2423"/>
      <c r="AR557" s="2423"/>
      <c r="AS557" s="550" t="s">
        <v>2169</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4">
        <f>IFERROR(IF(AND(C541="N/A",C544="N/A"),0,IF(AF553=0,0,IF((AF553*100)&gt;12,12,(AF553*100)))),0)</f>
        <v>12</v>
      </c>
      <c r="AL559" s="2514"/>
      <c r="AM559" s="2515"/>
      <c r="AN559" s="597"/>
      <c r="AP559" s="2408">
        <f>AP556+(AP550*AP554)</f>
        <v>259885674.80000001</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1312</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2020</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1336</v>
      </c>
      <c r="AG578" s="2525"/>
      <c r="AH578" s="2525"/>
      <c r="AI578" s="2525"/>
      <c r="AJ578" s="2525"/>
      <c r="AK578" s="2525"/>
      <c r="AL578" s="252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2171</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2172</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1394</v>
      </c>
      <c r="AG585" s="2525"/>
      <c r="AH585" s="2525"/>
      <c r="AI585" s="2525"/>
      <c r="AJ585" s="2525"/>
      <c r="AK585" s="2525"/>
      <c r="AL585" s="252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1376</v>
      </c>
      <c r="AG591" s="2525"/>
      <c r="AH591" s="2525"/>
      <c r="AI591" s="2525"/>
      <c r="AJ591" s="2525"/>
      <c r="AK591" s="2525"/>
      <c r="AL591" s="252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2174</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2175</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2176</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1397</v>
      </c>
      <c r="AG597" s="2525"/>
      <c r="AH597" s="2525"/>
      <c r="AI597" s="2525"/>
      <c r="AJ597" s="2525"/>
      <c r="AK597" s="2525"/>
      <c r="AL597" s="252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2177</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2178</v>
      </c>
    </row>
    <row r="601" spans="1:53" s="550" customFormat="1" ht="12.75" customHeight="1">
      <c r="B601" s="610"/>
      <c r="C601" s="931"/>
      <c r="D601" s="663"/>
      <c r="E601" s="536" t="s">
        <v>1863</v>
      </c>
      <c r="O601" s="2541" t="s">
        <v>1182</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1350</v>
      </c>
      <c r="AG603" s="2525"/>
      <c r="AH603" s="2525"/>
      <c r="AI603" s="2525"/>
      <c r="AJ603" s="2525"/>
      <c r="AK603" s="2525"/>
      <c r="AL603" s="252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449" t="s">
        <v>686</v>
      </c>
      <c r="I606" s="2449"/>
      <c r="J606" s="936"/>
      <c r="K606" s="936"/>
      <c r="L606" s="936"/>
      <c r="N606" s="22"/>
      <c r="O606" s="22"/>
      <c r="P606" s="22"/>
      <c r="Q606" s="1151" t="s">
        <v>2173</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40" t="s">
        <v>590</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7" t="s">
        <v>590</v>
      </c>
      <c r="C616" s="2397"/>
      <c r="D616" s="642"/>
      <c r="E616" s="2425" t="s">
        <v>1401</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32">
        <f>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9" t="s">
        <v>1692</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1350</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7" t="s">
        <v>590</v>
      </c>
      <c r="Y634" s="239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1406</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49" t="str">
        <f>'[1]Data Port'!$G$16</f>
        <v>(i)</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32">
        <f>VLOOKUP($H$638,$AO$605:$AP$607,2,FALSE)</f>
        <v>3</v>
      </c>
      <c r="AK640" s="2434"/>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5" t="s">
        <v>2095</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1350</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1406</v>
      </c>
      <c r="AG647" s="2525"/>
      <c r="AH647" s="2525"/>
      <c r="AI647" s="2525"/>
      <c r="AJ647" s="2525"/>
      <c r="AK647" s="2525"/>
      <c r="AL647" s="252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49" t="str">
        <f>'[1]Data Port'!$G$12</f>
        <v>(i)</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32">
        <f>VLOOKUP(H650,AT605:AU607,2,FALSE)</f>
        <v>3</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5" t="s">
        <v>1416</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1376</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5" t="s">
        <v>1417</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1397</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1418</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1350</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590</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25" t="s">
        <v>1419</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1397</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5" t="s">
        <v>1420</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1350</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5" t="s">
        <v>1421</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1406</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25" t="s">
        <v>1422</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1423</v>
      </c>
      <c r="AG681" s="2525"/>
      <c r="AH681" s="2525"/>
      <c r="AI681" s="2525"/>
      <c r="AJ681" s="2525"/>
      <c r="AK681" s="2525"/>
      <c r="AL681" s="2525"/>
      <c r="AM681" s="596"/>
      <c r="AN681" s="597"/>
      <c r="AO681" s="611" t="s">
        <v>686</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49" t="str">
        <f>'[1]Data Port'!$G$11</f>
        <v>(i)</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32">
        <f>VLOOKUP($H$685,$AO$633:$AP$640,2,FALSE)</f>
        <v>5</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2132</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2179</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2180</v>
      </c>
      <c r="AX690" s="1152">
        <f>Application!G753</f>
        <v>342</v>
      </c>
    </row>
    <row r="691" spans="1:51" s="550" customFormat="1" ht="12.75" customHeight="1">
      <c r="A691" s="679"/>
      <c r="B691" s="536"/>
      <c r="C691" s="948"/>
      <c r="D691" s="663" t="s">
        <v>686</v>
      </c>
      <c r="E691" s="2395" t="s">
        <v>2186</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1350</v>
      </c>
      <c r="AG691" s="2525"/>
      <c r="AH691" s="2525"/>
      <c r="AI691" s="2525"/>
      <c r="AJ691" s="2525"/>
      <c r="AK691" s="2525"/>
      <c r="AL691" s="2525"/>
      <c r="AN691" s="597"/>
      <c r="AW691" s="22" t="s">
        <v>2181</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2182</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2183</v>
      </c>
      <c r="AX693" s="550">
        <f>Application!DO753</f>
        <v>0</v>
      </c>
    </row>
    <row r="694" spans="1:51" s="550" customFormat="1" ht="12.75" customHeight="1">
      <c r="B694" s="536"/>
      <c r="C694" s="931"/>
      <c r="D694" s="663" t="s">
        <v>508</v>
      </c>
      <c r="E694" s="2425" t="s">
        <v>2130</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1350</v>
      </c>
      <c r="AG694" s="2525"/>
      <c r="AH694" s="2525"/>
      <c r="AI694" s="2525"/>
      <c r="AJ694" s="2525"/>
      <c r="AK694" s="2525"/>
      <c r="AL694" s="2525"/>
      <c r="AN694" s="597"/>
      <c r="AW694" s="22" t="s">
        <v>2184</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2185</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25" t="s">
        <v>2131</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1406</v>
      </c>
      <c r="AG699" s="2525"/>
      <c r="AH699" s="2525"/>
      <c r="AI699" s="2525"/>
      <c r="AJ699" s="2525"/>
      <c r="AK699" s="2525"/>
      <c r="AL699" s="2525"/>
      <c r="AN699" s="597"/>
      <c r="AO699" s="611" t="s">
        <v>508</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5" t="s">
        <v>1691</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49" t="str">
        <f>'[1]Data Port'!$G$13</f>
        <v>(i)</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2133</v>
      </c>
      <c r="AJ711" s="2432">
        <f>VLOOKUP($H$709,$AO$703:$AP$706,2,FALSE)</f>
        <v>3</v>
      </c>
      <c r="AK711" s="2434"/>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1350</v>
      </c>
      <c r="AG715" s="2525"/>
      <c r="AH715" s="2525"/>
      <c r="AI715" s="2525"/>
      <c r="AJ715" s="2525"/>
      <c r="AK715" s="2525"/>
      <c r="AL715" s="2525"/>
      <c r="AM715" s="550"/>
      <c r="AN715" s="684"/>
      <c r="AP715" s="570" t="s">
        <v>1430</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4.1"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1" customHeight="1">
      <c r="A719" s="550"/>
      <c r="B719" s="536"/>
      <c r="C719" s="931"/>
      <c r="D719" s="663" t="s">
        <v>508</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1406</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4.1"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1" customHeight="1">
      <c r="A723" s="550"/>
      <c r="B723" s="536"/>
      <c r="C723" s="933"/>
      <c r="D723" s="536" t="s">
        <v>1398</v>
      </c>
      <c r="E723" s="936"/>
      <c r="F723" s="936"/>
      <c r="G723" s="936"/>
      <c r="H723" s="2449" t="s">
        <v>590</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5" t="s">
        <v>1694</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1350</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5" t="s">
        <v>1437</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1406</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49" t="s">
        <v>590</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5" t="s">
        <v>1440</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1350</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5" t="s">
        <v>1441</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1406</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49" t="str">
        <f>'[1]Data Port'!$G$14</f>
        <v>(i)</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32">
        <f>VLOOKUP($H$751,$AO$680:$AP$682,2,FALSE)</f>
        <v>3</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5" t="s">
        <v>1443</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1406</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5" t="s">
        <v>1444</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1423</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49" t="str">
        <f>'[1]Data Port'!$G$15</f>
        <v>(i)</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25" t="s">
        <v>1690</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1406</v>
      </c>
      <c r="AG769" s="2525"/>
      <c r="AH769" s="2525"/>
      <c r="AI769" s="2525"/>
      <c r="AJ769" s="2525"/>
      <c r="AK769" s="2525"/>
      <c r="AL769" s="2525"/>
      <c r="AM769" s="613"/>
      <c r="AN769" s="684"/>
      <c r="AO769" s="550" t="s">
        <v>590</v>
      </c>
      <c r="AP769" s="673">
        <v>0</v>
      </c>
    </row>
    <row r="770" spans="1:81" s="570" customFormat="1" ht="13.7"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6" t="s">
        <v>1695</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1350</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49" t="s">
        <v>590</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25" t="s">
        <v>2030</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1350</v>
      </c>
      <c r="AG785" s="2525"/>
      <c r="AH785" s="2525"/>
      <c r="AI785" s="2525"/>
      <c r="AJ785" s="2525"/>
      <c r="AK785" s="2525"/>
      <c r="AL785" s="2525"/>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49" t="str">
        <f>IF(OR('[1]Initial Screen'!$H$11="High Resource",'[1]Initial Screen'!$H$11="Highest Resource"),"Yes","N/A")</f>
        <v>N/A</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1566</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1567</v>
      </c>
      <c r="U802" s="2520"/>
      <c r="V802" s="2520"/>
      <c r="W802" s="2520"/>
      <c r="X802" s="2520"/>
      <c r="Y802" s="2521"/>
      <c r="Z802" s="2519" t="s">
        <v>1568</v>
      </c>
      <c r="AA802" s="2520"/>
      <c r="AB802" s="2520"/>
      <c r="AC802" s="2520"/>
      <c r="AD802" s="2520"/>
      <c r="AE802" s="2521"/>
      <c r="AF802" s="2519" t="s">
        <v>1569</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756</v>
      </c>
      <c r="B804" s="2476" t="s">
        <v>1302</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c r="A805" s="819" t="s">
        <v>1539</v>
      </c>
      <c r="B805" s="2476" t="s">
        <v>1311</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c r="A806" s="819" t="s">
        <v>1548</v>
      </c>
      <c r="B806" s="2476" t="s">
        <v>1321</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c r="A807" s="819" t="s">
        <v>1570</v>
      </c>
      <c r="B807" s="2476" t="s">
        <v>1331</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1571</v>
      </c>
      <c r="B808" s="2476" t="s">
        <v>1572</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1573</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1574</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1359</v>
      </c>
      <c r="B811" s="2476" t="s">
        <v>1575</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c r="A812" s="819" t="s">
        <v>1368</v>
      </c>
      <c r="B812" s="2476" t="s">
        <v>1369</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588</v>
      </c>
      <c r="B813" s="2476" t="s">
        <v>1576</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6" t="s">
        <v>1577</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6" t="s">
        <v>1379</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6" t="s">
        <v>844</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6" t="s">
        <v>1557</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476" t="s">
        <v>1579</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1580</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1581</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2" t="s">
        <v>1582</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2024-12-09T20:28:29Z</cp:lastPrinted>
  <dcterms:created xsi:type="dcterms:W3CDTF">2007-12-27T18:26:28Z</dcterms:created>
  <dcterms:modified xsi:type="dcterms:W3CDTF">2025-09-09T06:04:55Z</dcterms:modified>
</cp:coreProperties>
</file>