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2_Bay Area_OAK_3403 Piedmont Ave\"/>
    </mc:Choice>
  </mc:AlternateContent>
  <xr:revisionPtr revIDLastSave="0" documentId="13_ncr:1_{EB30B101-0666-41D7-BA3E-79B5B28B623C}" xr6:coauthVersionLast="47" xr6:coauthVersionMax="47" xr10:uidLastSave="{00000000-0000-0000-0000-000000000000}"/>
  <bookViews>
    <workbookView xWindow="-108" yWindow="-108" windowWidth="23256" windowHeight="13896"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90" i="20" l="1"/>
  <c r="AD411" i="3"/>
  <c r="G73" i="21"/>
  <c r="H763" i="20"/>
  <c r="H751" i="20"/>
  <c r="H709" i="20"/>
  <c r="H685" i="20"/>
  <c r="H650" i="20"/>
  <c r="H638" i="20"/>
  <c r="C302" i="20"/>
  <c r="C292" i="20"/>
  <c r="B199" i="20"/>
  <c r="B188" i="20"/>
  <c r="B150" i="20"/>
  <c r="AB50" i="15"/>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1" i="4"/>
  <c r="C40" i="4"/>
  <c r="A37" i="4"/>
  <c r="C35" i="4"/>
  <c r="F35" i="4" s="1"/>
  <c r="C34" i="4"/>
  <c r="F34" i="4" s="1"/>
  <c r="C29" i="4"/>
  <c r="C15" i="4"/>
  <c r="C14" i="4"/>
  <c r="C13" i="4"/>
  <c r="C10" i="4"/>
  <c r="C9" i="4"/>
  <c r="C7" i="4"/>
  <c r="C6"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T776" i="3"/>
  <c r="O776" i="3"/>
  <c r="J776" i="3"/>
  <c r="J775" i="3"/>
  <c r="J774" i="3"/>
  <c r="J773" i="3"/>
  <c r="AC734" i="3"/>
  <c r="AC731" i="3"/>
  <c r="AC730" i="3"/>
  <c r="AC729" i="3"/>
  <c r="AC728" i="3"/>
  <c r="AC727" i="3"/>
  <c r="AC726" i="3"/>
  <c r="T731" i="3"/>
  <c r="T730" i="3"/>
  <c r="K741" i="3"/>
  <c r="K740" i="3"/>
  <c r="K739" i="3"/>
  <c r="K738" i="3"/>
  <c r="K737" i="3"/>
  <c r="K736" i="3"/>
  <c r="K735" i="3"/>
  <c r="K734" i="3"/>
  <c r="K733" i="3"/>
  <c r="K732" i="3"/>
  <c r="K731" i="3"/>
  <c r="K729" i="3"/>
  <c r="K728" i="3"/>
  <c r="K727" i="3"/>
  <c r="K726" i="3"/>
  <c r="K725" i="3"/>
  <c r="K724" i="3"/>
  <c r="K723" i="3"/>
  <c r="K722" i="3"/>
  <c r="K721" i="3"/>
  <c r="K720" i="3"/>
  <c r="K719" i="3"/>
  <c r="K718" i="3"/>
  <c r="G741" i="3"/>
  <c r="T741" i="3" s="1"/>
  <c r="G740" i="3"/>
  <c r="T740" i="3" s="1"/>
  <c r="G738" i="3"/>
  <c r="AC738" i="3" s="1"/>
  <c r="G737" i="3"/>
  <c r="AC737" i="3" s="1"/>
  <c r="G736" i="3"/>
  <c r="AC736" i="3" s="1"/>
  <c r="G735" i="3"/>
  <c r="T737" i="3" s="1"/>
  <c r="G734" i="3"/>
  <c r="G732" i="3"/>
  <c r="T732" i="3" s="1"/>
  <c r="G731" i="3"/>
  <c r="G730" i="3"/>
  <c r="G729" i="3"/>
  <c r="T729" i="3" s="1"/>
  <c r="G728" i="3"/>
  <c r="T728" i="3" s="1"/>
  <c r="G727" i="3"/>
  <c r="G726" i="3"/>
  <c r="T726" i="3" s="1"/>
  <c r="G725" i="3"/>
  <c r="AC725" i="3" s="1"/>
  <c r="G724" i="3"/>
  <c r="AC724" i="3" s="1"/>
  <c r="G723" i="3"/>
  <c r="AC723" i="3" s="1"/>
  <c r="G722" i="3"/>
  <c r="G721" i="3"/>
  <c r="AC721" i="3" s="1"/>
  <c r="G720" i="3"/>
  <c r="AC720" i="3" s="1"/>
  <c r="G719" i="3"/>
  <c r="AC719" i="3" s="1"/>
  <c r="G718" i="3"/>
  <c r="AC718" i="3" s="1"/>
  <c r="B741" i="3"/>
  <c r="B740" i="3"/>
  <c r="B739" i="3"/>
  <c r="B738" i="3"/>
  <c r="B737" i="3"/>
  <c r="B736" i="3"/>
  <c r="B735" i="3"/>
  <c r="B734" i="3"/>
  <c r="B733" i="3"/>
  <c r="B732" i="3"/>
  <c r="B731" i="3"/>
  <c r="B730" i="3"/>
  <c r="B729" i="3"/>
  <c r="B728" i="3"/>
  <c r="B727" i="3"/>
  <c r="B726" i="3"/>
  <c r="B725" i="3"/>
  <c r="B724" i="3"/>
  <c r="B723" i="3"/>
  <c r="B722" i="3"/>
  <c r="B721" i="3"/>
  <c r="B720" i="3"/>
  <c r="B719" i="3"/>
  <c r="B718"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0" i="3"/>
  <c r="M630" i="3" s="1"/>
  <c r="AK627" i="3"/>
  <c r="W638" i="3"/>
  <c r="T638" i="3"/>
  <c r="Q638" i="3"/>
  <c r="W637" i="3"/>
  <c r="T637" i="3"/>
  <c r="Q637" i="3"/>
  <c r="W636" i="3"/>
  <c r="T636" i="3"/>
  <c r="Q636" i="3"/>
  <c r="W635" i="3"/>
  <c r="T635" i="3"/>
  <c r="Q635" i="3"/>
  <c r="W634" i="3"/>
  <c r="T634" i="3"/>
  <c r="Q634" i="3"/>
  <c r="W633" i="3"/>
  <c r="T633" i="3"/>
  <c r="Q633" i="3"/>
  <c r="T631" i="3"/>
  <c r="T630" i="3"/>
  <c r="Z629" i="3"/>
  <c r="W629" i="3"/>
  <c r="T629" i="3"/>
  <c r="Q629" i="3"/>
  <c r="Z628" i="3"/>
  <c r="W628" i="3"/>
  <c r="T628" i="3"/>
  <c r="Q628" i="3"/>
  <c r="Z627" i="3"/>
  <c r="W627" i="3"/>
  <c r="T627" i="3"/>
  <c r="Q627" i="3"/>
  <c r="C638" i="3"/>
  <c r="C637" i="3"/>
  <c r="C636" i="3"/>
  <c r="C635" i="3"/>
  <c r="C634" i="3"/>
  <c r="C633"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Q561" i="3" s="1"/>
  <c r="AM560" i="3"/>
  <c r="Q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E402"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W159" i="3"/>
  <c r="O161" i="3"/>
  <c r="O160" i="3"/>
  <c r="O159" i="3"/>
  <c r="O158" i="3"/>
  <c r="O157" i="3"/>
  <c r="O156" i="3"/>
  <c r="O155" i="3"/>
  <c r="O154" i="3"/>
  <c r="O153" i="3"/>
  <c r="O33" i="3"/>
  <c r="H18" i="3"/>
  <c r="H16" i="3"/>
  <c r="AC732" i="3" l="1"/>
  <c r="AC735" i="3"/>
  <c r="AC740" i="3"/>
  <c r="C561" i="3"/>
  <c r="T719" i="3"/>
  <c r="AC741" i="3"/>
  <c r="T735" i="3"/>
  <c r="T736" i="3"/>
  <c r="C560" i="3"/>
  <c r="T738" i="3"/>
  <c r="AC722" i="3"/>
  <c r="T722" i="3"/>
  <c r="C630" i="3"/>
  <c r="W560" i="3"/>
  <c r="Q630" i="3"/>
  <c r="M560" i="3"/>
  <c r="W561" i="3"/>
  <c r="W630" i="3"/>
  <c r="M561" i="3"/>
  <c r="Z630" i="3"/>
  <c r="T723" i="3"/>
  <c r="T724" i="3"/>
  <c r="T725" i="3"/>
  <c r="C9" i="7"/>
  <c r="E103" i="4" l="1"/>
  <c r="E102" i="4"/>
  <c r="S101" i="4"/>
  <c r="E100" i="4"/>
  <c r="E94" i="4"/>
  <c r="E93" i="4"/>
  <c r="E92" i="4"/>
  <c r="E91" i="4"/>
  <c r="S90" i="4"/>
  <c r="S89" i="4"/>
  <c r="E84" i="4"/>
  <c r="E76" i="4"/>
  <c r="E74" i="4"/>
  <c r="E73" i="4"/>
  <c r="E72" i="4"/>
  <c r="E69" i="4"/>
  <c r="S67" i="4"/>
  <c r="S66" i="4"/>
  <c r="E61" i="4"/>
  <c r="E60" i="4"/>
  <c r="E59" i="4"/>
  <c r="E58" i="4"/>
  <c r="E57" i="4"/>
  <c r="S53" i="4"/>
  <c r="E41"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S50" i="4" l="1"/>
  <c r="E50"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4" i="3"/>
  <c r="AZ725" i="3"/>
  <c r="AZ728" i="3"/>
  <c r="AZ729" i="3"/>
  <c r="AZ731" i="3"/>
  <c r="AZ732" i="3"/>
  <c r="AZ734" i="3"/>
  <c r="AZ735" i="3"/>
  <c r="AZ737"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E15" i="7"/>
  <c r="G15" i="7" s="1"/>
  <c r="E18" i="7"/>
  <c r="G18" i="7" s="1"/>
  <c r="I18" i="7" s="1"/>
  <c r="K18" i="7" s="1"/>
  <c r="M18" i="7" s="1"/>
  <c r="O18" i="7" s="1"/>
  <c r="Q18" i="7" s="1"/>
  <c r="S18" i="7" s="1"/>
  <c r="U18" i="7" s="1"/>
  <c r="W18" i="7" s="1"/>
  <c r="Y18" i="7" s="1"/>
  <c r="AA18" i="7" s="1"/>
  <c r="AC18" i="7" s="1"/>
  <c r="AE18" i="7" s="1"/>
  <c r="AG18" i="7" s="1"/>
  <c r="AC787" i="3"/>
  <c r="AC788" i="3"/>
  <c r="AC789" i="3"/>
  <c r="AC790" i="3"/>
  <c r="AC791" i="3"/>
  <c r="AC792" i="3"/>
  <c r="AC793" i="3"/>
  <c r="AC794" i="3"/>
  <c r="AC795" i="3"/>
  <c r="AC796" i="3"/>
  <c r="T25" i="15"/>
  <c r="AD7" i="15" s="1"/>
  <c r="DG122" i="3"/>
  <c r="R989" i="3" s="1"/>
  <c r="CP719" i="3"/>
  <c r="EZ719" i="3" s="1"/>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2"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7" i="3"/>
  <c r="FO737" i="3" s="1"/>
  <c r="DE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1" i="3"/>
  <c r="CI721" i="3" s="1"/>
  <c r="CG722" i="3"/>
  <c r="CI722" i="3" s="1"/>
  <c r="CG723" i="3"/>
  <c r="CI723" i="3" s="1"/>
  <c r="CG724" i="3"/>
  <c r="CI724" i="3" s="1"/>
  <c r="CG725" i="3"/>
  <c r="CI725" i="3" s="1"/>
  <c r="CG726" i="3"/>
  <c r="CG728" i="3"/>
  <c r="CI728" i="3" s="1"/>
  <c r="CG729" i="3"/>
  <c r="CI729" i="3" s="1"/>
  <c r="CG730" i="3"/>
  <c r="CI730" i="3" s="1"/>
  <c r="CG731" i="3"/>
  <c r="CI731" i="3" s="1"/>
  <c r="CG732" i="3"/>
  <c r="CI732" i="3" s="1"/>
  <c r="CG734" i="3"/>
  <c r="CI734" i="3" s="1"/>
  <c r="CG735" i="3"/>
  <c r="CI735" i="3" s="1"/>
  <c r="CG737" i="3"/>
  <c r="CI737" i="3" s="1"/>
  <c r="CG740" i="3"/>
  <c r="CI740" i="3" s="1"/>
  <c r="CG752" i="3"/>
  <c r="CI752" i="3" s="1"/>
  <c r="CK719" i="3"/>
  <c r="CM719" i="3" s="1"/>
  <c r="CK721" i="3"/>
  <c r="CM721" i="3" s="1"/>
  <c r="CK722" i="3"/>
  <c r="CM722" i="3" s="1"/>
  <c r="CK723" i="3"/>
  <c r="CM723" i="3" s="1"/>
  <c r="CK724" i="3"/>
  <c r="CM724" i="3" s="1"/>
  <c r="CK725" i="3"/>
  <c r="CM725" i="3" s="1"/>
  <c r="CK726" i="3"/>
  <c r="CM726" i="3" s="1"/>
  <c r="CK728" i="3"/>
  <c r="CM728" i="3" s="1"/>
  <c r="CK729" i="3"/>
  <c r="CM729" i="3" s="1"/>
  <c r="CK730" i="3"/>
  <c r="CK731" i="3"/>
  <c r="CM731" i="3" s="1"/>
  <c r="CK732" i="3"/>
  <c r="CM732" i="3" s="1"/>
  <c r="CK734" i="3"/>
  <c r="CM734" i="3" s="1"/>
  <c r="CK735" i="3"/>
  <c r="CM735" i="3" s="1"/>
  <c r="CK737" i="3"/>
  <c r="CM737"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4" i="3"/>
  <c r="BF725" i="3"/>
  <c r="BF728" i="3"/>
  <c r="BF729" i="3"/>
  <c r="BF731" i="3"/>
  <c r="BF732" i="3"/>
  <c r="BF734" i="3"/>
  <c r="BF735" i="3"/>
  <c r="BF737"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1" i="21"/>
  <c r="M23" i="21"/>
  <c r="M24" i="21"/>
  <c r="O24" i="21" s="1"/>
  <c r="M25" i="21"/>
  <c r="O25" i="21" s="1"/>
  <c r="M26" i="21"/>
  <c r="M27" i="21"/>
  <c r="O27" i="21" s="1"/>
  <c r="M30" i="21"/>
  <c r="M31" i="21"/>
  <c r="O31" i="21" s="1"/>
  <c r="M33" i="21"/>
  <c r="M34" i="21"/>
  <c r="M36" i="21"/>
  <c r="M37" i="21"/>
  <c r="O37" i="21" s="1"/>
  <c r="M39" i="21"/>
  <c r="O39" i="21" s="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3" i="21"/>
  <c r="N24" i="21"/>
  <c r="N25" i="21"/>
  <c r="N26" i="21"/>
  <c r="N27" i="21"/>
  <c r="N28" i="21"/>
  <c r="N30" i="21"/>
  <c r="N31" i="21"/>
  <c r="N32" i="21"/>
  <c r="N33" i="21"/>
  <c r="N34" i="21"/>
  <c r="N36" i="21"/>
  <c r="N37" i="21"/>
  <c r="N39" i="21"/>
  <c r="N42" i="21"/>
  <c r="N43" i="21"/>
  <c r="B5" i="8"/>
  <c r="G5" i="8" s="1"/>
  <c r="B10" i="8"/>
  <c r="G10"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4" i="3"/>
  <c r="BS725" i="3"/>
  <c r="BS728" i="3"/>
  <c r="BS729" i="3"/>
  <c r="BS731" i="3"/>
  <c r="BS732" i="3"/>
  <c r="BS734" i="3"/>
  <c r="BS735" i="3"/>
  <c r="BS737"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18" i="8"/>
  <c r="G18" i="8" s="1"/>
  <c r="B20" i="8"/>
  <c r="G20" i="8" s="1"/>
  <c r="B21" i="8"/>
  <c r="G21" i="8" s="1"/>
  <c r="B23" i="8"/>
  <c r="G23"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1" i="4"/>
  <c r="R35" i="4"/>
  <c r="R34" i="4"/>
  <c r="R27" i="4"/>
  <c r="R25" i="4"/>
  <c r="R23" i="4"/>
  <c r="R22" i="4"/>
  <c r="R21" i="4"/>
  <c r="R20" i="4"/>
  <c r="R19" i="4"/>
  <c r="R18" i="4"/>
  <c r="R17" i="4"/>
  <c r="R15" i="4"/>
  <c r="R14" i="4"/>
  <c r="R13" i="4"/>
  <c r="R9" i="4"/>
  <c r="R7" i="4"/>
  <c r="B5" i="11"/>
  <c r="C5"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8" i="4"/>
  <c r="D11" i="4"/>
  <c r="D26" i="4"/>
  <c r="D42" i="4"/>
  <c r="D54" i="4"/>
  <c r="D62" i="4"/>
  <c r="D77" i="4"/>
  <c r="D96" i="4"/>
  <c r="D104" i="4"/>
  <c r="S42" i="4"/>
  <c r="E42" i="13" s="1"/>
  <c r="F2" i="4"/>
  <c r="G2" i="4"/>
  <c r="H2" i="4"/>
  <c r="I2" i="4"/>
  <c r="L2" i="4"/>
  <c r="M2" i="4"/>
  <c r="N2" i="4"/>
  <c r="O2" i="4"/>
  <c r="P2" i="4"/>
  <c r="Q2" i="4"/>
  <c r="B4" i="4"/>
  <c r="BE23" i="3" s="1"/>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G42" i="4"/>
  <c r="H42" i="4"/>
  <c r="K42" i="4"/>
  <c r="L42" i="4"/>
  <c r="O42" i="4"/>
  <c r="Q42"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I108" i="4"/>
  <c r="I30" i="4" s="1"/>
  <c r="I38" i="4" s="1"/>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U719" i="3"/>
  <c r="DZ719" i="3"/>
  <c r="EE719" i="3"/>
  <c r="EJ719" i="3"/>
  <c r="EO719" i="3"/>
  <c r="ET719"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4" i="3"/>
  <c r="DZ734" i="3"/>
  <c r="EE734" i="3"/>
  <c r="EJ734" i="3"/>
  <c r="EO734" i="3"/>
  <c r="ET734" i="3"/>
  <c r="DU735" i="3"/>
  <c r="DZ735" i="3"/>
  <c r="EE735" i="3"/>
  <c r="EJ735" i="3"/>
  <c r="EO735" i="3"/>
  <c r="ET735" i="3"/>
  <c r="DU737" i="3"/>
  <c r="DZ737" i="3"/>
  <c r="EE737" i="3"/>
  <c r="EJ737" i="3"/>
  <c r="EO737" i="3"/>
  <c r="ET737" i="3"/>
  <c r="DU740" i="3"/>
  <c r="DZ740" i="3"/>
  <c r="EE740" i="3"/>
  <c r="EJ740" i="3"/>
  <c r="EO740" i="3"/>
  <c r="ET740" i="3"/>
  <c r="DU752" i="3"/>
  <c r="DZ752" i="3"/>
  <c r="EE752" i="3"/>
  <c r="EJ752" i="3"/>
  <c r="EO752" i="3"/>
  <c r="ET752" i="3"/>
  <c r="G643" i="3"/>
  <c r="Z643" i="3"/>
  <c r="G651" i="3"/>
  <c r="Z651" i="3"/>
  <c r="G667" i="3"/>
  <c r="Z667" i="3"/>
  <c r="G675" i="3"/>
  <c r="Z675" i="3"/>
  <c r="G683" i="3"/>
  <c r="Z683" i="3"/>
  <c r="M832" i="3"/>
  <c r="Q832" i="3"/>
  <c r="U832" i="3"/>
  <c r="Y832" i="3"/>
  <c r="AC832" i="3"/>
  <c r="AG832" i="3"/>
  <c r="Z902" i="3"/>
  <c r="AG657" i="3" l="1"/>
  <c r="BI551" i="3" s="1"/>
  <c r="AA656" i="3"/>
  <c r="Z655" i="3"/>
  <c r="Z654" i="3"/>
  <c r="Z653" i="3"/>
  <c r="Z652" i="3"/>
  <c r="Z594" i="3"/>
  <c r="AG599" i="3"/>
  <c r="BA479" i="3" s="1"/>
  <c r="Z597" i="3"/>
  <c r="AA598" i="3"/>
  <c r="Z596" i="3"/>
  <c r="Z595" i="3"/>
  <c r="H598" i="3"/>
  <c r="G597" i="3"/>
  <c r="G596" i="3"/>
  <c r="G595" i="3"/>
  <c r="G594" i="3"/>
  <c r="N599" i="3"/>
  <c r="B26" i="4"/>
  <c r="BA478" i="3"/>
  <c r="C42" i="13"/>
  <c r="F42" i="13"/>
  <c r="C26" i="13"/>
  <c r="F26" i="13"/>
  <c r="C11" i="13"/>
  <c r="C70" i="13"/>
  <c r="F70" i="13"/>
  <c r="D35" i="11"/>
  <c r="AO18" i="20"/>
  <c r="D36" i="11"/>
  <c r="D94" i="11"/>
  <c r="D103"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18" i="11"/>
  <c r="C12" i="11"/>
  <c r="Q63" i="4"/>
  <c r="Q97" i="4" s="1"/>
  <c r="Q105" i="4" s="1"/>
  <c r="B11" i="4"/>
  <c r="J63" i="13"/>
  <c r="J97" i="13" s="1"/>
  <c r="J105" i="13" s="1"/>
  <c r="J107" i="13" s="1"/>
  <c r="D60" i="11"/>
  <c r="M12" i="4"/>
  <c r="R26"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7" i="21"/>
  <c r="S43" i="21"/>
  <c r="U33" i="21"/>
  <c r="U24" i="21"/>
  <c r="S39" i="21"/>
  <c r="U37" i="21"/>
  <c r="T21" i="21"/>
  <c r="U21" i="21"/>
  <c r="U36" i="21"/>
  <c r="T43" i="21"/>
  <c r="U43" i="21"/>
  <c r="T27" i="21"/>
  <c r="U27" i="21"/>
  <c r="R42" i="21" a="1"/>
  <c r="R42" i="21" s="1"/>
  <c r="U42" i="21"/>
  <c r="T34" i="21"/>
  <c r="U34" i="21"/>
  <c r="U26" i="21"/>
  <c r="T25" i="21"/>
  <c r="U25" i="21"/>
  <c r="R30" i="21" a="1"/>
  <c r="R30" i="21" s="1"/>
  <c r="U3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R23" i="21" a="1"/>
  <c r="R23" i="21" s="1"/>
  <c r="R34" i="21" a="1"/>
  <c r="R34" i="21" s="1"/>
  <c r="R990" i="3"/>
  <c r="FT753" i="3"/>
  <c r="CZ797" i="3"/>
  <c r="DD798" i="3" s="1"/>
  <c r="EE794" i="3"/>
  <c r="EE797" i="3" s="1"/>
  <c r="T26" i="21"/>
  <c r="R26" i="21" a="1"/>
  <c r="R26" i="21" s="1"/>
  <c r="DJ753" i="3"/>
  <c r="AX692" i="20" s="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R33" i="21" a="1"/>
  <c r="R33" i="21" s="1"/>
  <c r="R24" i="21" a="1"/>
  <c r="R24" i="21" s="1"/>
  <c r="I15" i="7"/>
  <c r="E28" i="21"/>
  <c r="D43" i="11" l="1"/>
  <c r="D71" i="11"/>
  <c r="D12" i="11"/>
  <c r="D27" i="11"/>
  <c r="T97" i="4"/>
  <c r="H63" i="13"/>
  <c r="AO39" i="20"/>
  <c r="AK62" i="20" s="1"/>
  <c r="T804" i="20" s="1"/>
  <c r="AF804" i="20" s="1"/>
  <c r="BE71" i="3" s="1"/>
  <c r="O53" i="7"/>
  <c r="M58" i="7"/>
  <c r="AO42" i="20"/>
  <c r="AS360" i="20"/>
  <c r="G130" i="21"/>
  <c r="G132" i="21" s="1"/>
  <c r="I16" i="21" s="1"/>
  <c r="AS362" i="20"/>
  <c r="AS358" i="20" s="1"/>
  <c r="AK469" i="20" s="1"/>
  <c r="T817" i="20" s="1"/>
  <c r="AF817" i="20" s="1"/>
  <c r="BE80" i="3" s="1"/>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CT798" i="3"/>
  <c r="DU800" i="3" s="1"/>
  <c r="DU799" i="3"/>
  <c r="ET799" i="3"/>
  <c r="E6" i="7"/>
  <c r="K15" i="7"/>
  <c r="AK84" i="20" l="1"/>
  <c r="AK191" i="20" s="1"/>
  <c r="T811" i="20" s="1"/>
  <c r="AF811" i="20" s="1"/>
  <c r="BE76" i="3" s="1"/>
  <c r="O58" i="7"/>
  <c r="Q53" i="7"/>
  <c r="T105" i="4"/>
  <c r="H97" i="13"/>
  <c r="P31" i="21" a="1"/>
  <c r="P31" i="21" s="1"/>
  <c r="S31" i="21" s="1"/>
  <c r="P25" i="21" a="1"/>
  <c r="P25" i="21" s="1"/>
  <c r="S25" i="21" s="1"/>
  <c r="P27" i="21" a="1"/>
  <c r="P27" i="21" s="1"/>
  <c r="S27" i="21" s="1"/>
  <c r="P24" i="21" a="1"/>
  <c r="P24" i="21" s="1"/>
  <c r="S24" i="21" s="1"/>
  <c r="EW670" i="3"/>
  <c r="AD130" i="20" s="1"/>
  <c r="AD133" i="20" s="1"/>
  <c r="ER670" i="3"/>
  <c r="Y130" i="20" s="1"/>
  <c r="Y133" i="20" s="1"/>
  <c r="AB990" i="3"/>
  <c r="AJ990" i="3" s="1"/>
  <c r="G6" i="7"/>
  <c r="E7" i="7"/>
  <c r="M15" i="7"/>
  <c r="T805" i="20" l="1"/>
  <c r="AF805" i="20" s="1"/>
  <c r="BE72" i="3" s="1"/>
  <c r="H105" i="13"/>
  <c r="T107" i="4"/>
  <c r="H107" i="13" s="1"/>
  <c r="Q58" i="7"/>
  <c r="S53" i="7"/>
  <c r="I6" i="7"/>
  <c r="G7" i="7"/>
  <c r="O15" i="7"/>
  <c r="AD11" i="15" l="1"/>
  <c r="AD23" i="15" s="1"/>
  <c r="AD26" i="15" s="1"/>
  <c r="AI11" i="15"/>
  <c r="AI23" i="15" s="1"/>
  <c r="AI26" i="15"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I7" i="8" l="1"/>
  <c r="V28" i="23"/>
  <c r="CU775" i="3"/>
  <c r="CU777" i="3" s="1"/>
  <c r="CY778" i="3" s="1"/>
  <c r="P28" i="23" l="1"/>
  <c r="J28" i="23" s="1"/>
  <c r="CP773" i="3"/>
  <c r="CP777" i="3" s="1"/>
  <c r="DU777" i="3" l="1"/>
  <c r="CT778" i="3"/>
  <c r="DU778" i="3" s="1"/>
  <c r="CI726" i="3" l="1"/>
  <c r="AZ726" i="3"/>
  <c r="BS726" i="3"/>
  <c r="AZ730" i="3"/>
  <c r="BF730" i="3"/>
  <c r="BS730" i="3"/>
  <c r="CM730" i="3"/>
  <c r="EE730" i="3"/>
  <c r="B12" i="8"/>
  <c r="G12" i="8" s="1"/>
  <c r="B16" i="8"/>
  <c r="G16" i="8" s="1"/>
  <c r="M28" i="21"/>
  <c r="M32" i="21"/>
  <c r="T32" i="21" s="1"/>
  <c r="U32" i="21" l="1"/>
  <c r="R32" i="21" a="1"/>
  <c r="R32" i="21" s="1"/>
  <c r="U28" i="21"/>
  <c r="T28" i="21"/>
  <c r="R28" i="21" a="1"/>
  <c r="R28" i="21" s="1"/>
  <c r="BF726" i="3"/>
  <c r="CU726" i="3"/>
  <c r="CZ730" i="3"/>
  <c r="Y64" i="15" l="1"/>
  <c r="Y68" i="15" s="1"/>
  <c r="AH722" i="3"/>
  <c r="O21" i="21" l="1"/>
  <c r="P21" i="21" s="1" a="1"/>
  <c r="P21" i="21" s="1"/>
  <c r="S21" i="21" s="1"/>
  <c r="AH719" i="3"/>
  <c r="AH725" i="3"/>
  <c r="AH723" i="3"/>
  <c r="C30" i="11" l="1"/>
  <c r="B30" i="11"/>
  <c r="F29" i="4"/>
  <c r="E29" i="4" s="1"/>
  <c r="B29" i="13"/>
  <c r="C29" i="13" s="1"/>
  <c r="B29" i="4"/>
  <c r="D30" i="11" l="1"/>
  <c r="R29" i="4"/>
  <c r="E29" i="13"/>
  <c r="F29" i="13" s="1"/>
  <c r="AH729" i="3" l="1"/>
  <c r="AH735" i="3"/>
  <c r="AH737" i="3"/>
  <c r="AH741" i="3"/>
  <c r="BE62" i="3" l="1"/>
  <c r="AH728" i="3"/>
  <c r="FE728" i="3"/>
  <c r="AH731" i="3"/>
  <c r="FJ731" i="3"/>
  <c r="O30" i="21"/>
  <c r="P30" i="21" a="1"/>
  <c r="P30" i="21" s="1"/>
  <c r="S30" i="21"/>
  <c r="O33" i="21"/>
  <c r="P33" i="21" a="1"/>
  <c r="P33" i="21" s="1"/>
  <c r="S33" i="21"/>
  <c r="EC667" i="3"/>
  <c r="ET718" i="3"/>
  <c r="AZ718" i="3"/>
  <c r="BF718" i="3"/>
  <c r="BS718" i="3"/>
  <c r="CP718" i="3"/>
  <c r="DZ718" i="3"/>
  <c r="EJ718" i="3"/>
  <c r="CP720" i="3"/>
  <c r="FE724" i="3"/>
  <c r="AZ727" i="3"/>
  <c r="BF727" i="3"/>
  <c r="BS727" i="3"/>
  <c r="CG727" i="3"/>
  <c r="CI727" i="3"/>
  <c r="CK727" i="3"/>
  <c r="CM727" i="3"/>
  <c r="CU727" i="3"/>
  <c r="CU753" i="3" s="1"/>
  <c r="DU727" i="3"/>
  <c r="EJ727" i="3"/>
  <c r="ET727" i="3"/>
  <c r="FJ730" i="3"/>
  <c r="FJ732" i="3"/>
  <c r="AZ736" i="3"/>
  <c r="BF736" i="3"/>
  <c r="BS736" i="3"/>
  <c r="CG736" i="3"/>
  <c r="CI736" i="3"/>
  <c r="CK736" i="3"/>
  <c r="CM736" i="3" s="1"/>
  <c r="DE736" i="3"/>
  <c r="FO736" i="3" s="1"/>
  <c r="BS738" i="3"/>
  <c r="DE738" i="3"/>
  <c r="DU738" i="3"/>
  <c r="DZ738" i="3"/>
  <c r="EE738" i="3"/>
  <c r="EJ738" i="3"/>
  <c r="EO738" i="3"/>
  <c r="ET738" i="3"/>
  <c r="FO738" i="3"/>
  <c r="AH740" i="3"/>
  <c r="E6" i="4"/>
  <c r="B4" i="8"/>
  <c r="G4" i="8" s="1"/>
  <c r="B6" i="8"/>
  <c r="G6" i="8" s="1"/>
  <c r="B13" i="8"/>
  <c r="G13" i="8" s="1"/>
  <c r="B22" i="8"/>
  <c r="G22" i="8" s="1"/>
  <c r="B24" i="8"/>
  <c r="G24" i="8" s="1"/>
  <c r="M20" i="21"/>
  <c r="R20" i="21" s="1" a="1"/>
  <c r="R20" i="21" s="1"/>
  <c r="U20" i="21"/>
  <c r="M22" i="21"/>
  <c r="R22" i="21" s="1" a="1"/>
  <c r="R22" i="21" s="1"/>
  <c r="M29" i="21"/>
  <c r="E25" i="21" s="1"/>
  <c r="F25" i="21" s="1"/>
  <c r="G25" i="21" s="1"/>
  <c r="M38" i="21"/>
  <c r="N38" i="21"/>
  <c r="R38" i="21" a="1"/>
  <c r="R38" i="21" s="1"/>
  <c r="T38" i="21"/>
  <c r="U38" i="21"/>
  <c r="M40" i="21"/>
  <c r="R40" i="21" s="1" a="1"/>
  <c r="R40" i="21" s="1"/>
  <c r="N40" i="21"/>
  <c r="R29" i="21" l="1" a="1"/>
  <c r="R29" i="21" s="1"/>
  <c r="T22" i="21"/>
  <c r="E24" i="21"/>
  <c r="T20" i="21"/>
  <c r="R6" i="4"/>
  <c r="B6" i="13"/>
  <c r="C6" i="13" s="1"/>
  <c r="C7" i="11"/>
  <c r="B7" i="11"/>
  <c r="EC636" i="3"/>
  <c r="EC646" i="3"/>
  <c r="EC651" i="3"/>
  <c r="EC656" i="3"/>
  <c r="EC661" i="3"/>
  <c r="EC666" i="3"/>
  <c r="EC645" i="3"/>
  <c r="EC663" i="3"/>
  <c r="EC669" i="3"/>
  <c r="EC640" i="3"/>
  <c r="EC652" i="3"/>
  <c r="EC635" i="3"/>
  <c r="EC658" i="3"/>
  <c r="EC664" i="3"/>
  <c r="EC642" i="3"/>
  <c r="EC649" i="3"/>
  <c r="EC665" i="3"/>
  <c r="EC657" i="3"/>
  <c r="EC650" i="3"/>
  <c r="EC637" i="3"/>
  <c r="EC659" i="3"/>
  <c r="EC648" i="3"/>
  <c r="EC638" i="3"/>
  <c r="EC655" i="3"/>
  <c r="EC668" i="3"/>
  <c r="EC647" i="3"/>
  <c r="CY755" i="3"/>
  <c r="EC639" i="3"/>
  <c r="EC662" i="3"/>
  <c r="EC653" i="3"/>
  <c r="EC660" i="3"/>
  <c r="CU802" i="3"/>
  <c r="AB987" i="3" s="1"/>
  <c r="AJ987" i="3" s="1"/>
  <c r="EC654" i="3"/>
  <c r="CP753" i="3"/>
  <c r="FE726" i="3"/>
  <c r="EC643" i="3" s="1"/>
  <c r="EC641" i="3"/>
  <c r="B6" i="4"/>
  <c r="T40" i="21"/>
  <c r="U40" i="21"/>
  <c r="F24" i="21"/>
  <c r="FO740" i="3"/>
  <c r="DZ727" i="3"/>
  <c r="EE727" i="3"/>
  <c r="EO727" i="3"/>
  <c r="N29" i="21"/>
  <c r="DU718" i="3"/>
  <c r="EE718" i="3"/>
  <c r="CG718" i="3"/>
  <c r="CI718" i="3" s="1"/>
  <c r="CK718" i="3"/>
  <c r="CM718" i="3" s="1"/>
  <c r="N20" i="21"/>
  <c r="T29" i="21"/>
  <c r="U29" i="21"/>
  <c r="EO718" i="3"/>
  <c r="U22" i="21"/>
  <c r="CG738" i="3"/>
  <c r="CI738" i="3" s="1"/>
  <c r="CK738" i="3"/>
  <c r="CM738" i="3" s="1"/>
  <c r="AZ738" i="3"/>
  <c r="AH738" i="3" s="1"/>
  <c r="BF738" i="3"/>
  <c r="DU736" i="3"/>
  <c r="EE736" i="3"/>
  <c r="DZ736" i="3"/>
  <c r="EJ736" i="3"/>
  <c r="EO736" i="3"/>
  <c r="ET736" i="3"/>
  <c r="AZ720" i="3"/>
  <c r="BF720" i="3"/>
  <c r="BS720" i="3"/>
  <c r="CG720" i="3" l="1"/>
  <c r="CI720" i="3" s="1"/>
  <c r="N22" i="21"/>
  <c r="EJ720" i="3"/>
  <c r="EO720" i="3"/>
  <c r="ET720" i="3"/>
  <c r="DU720" i="3"/>
  <c r="EE720" i="3"/>
  <c r="DZ720" i="3"/>
  <c r="CK720" i="3"/>
  <c r="CM720" i="3" s="1"/>
  <c r="DX669" i="3"/>
  <c r="DX640" i="3"/>
  <c r="DX646" i="3"/>
  <c r="DX652" i="3"/>
  <c r="DX658" i="3"/>
  <c r="DX664" i="3"/>
  <c r="DX641" i="3"/>
  <c r="DX647" i="3"/>
  <c r="DX642" i="3"/>
  <c r="DX649" i="3"/>
  <c r="DX665" i="3"/>
  <c r="DX657" i="3"/>
  <c r="DX666" i="3"/>
  <c r="DX667" i="3"/>
  <c r="DX636" i="3"/>
  <c r="DX643" i="3"/>
  <c r="DX650" i="3"/>
  <c r="DX659" i="3"/>
  <c r="DX651" i="3"/>
  <c r="DX644" i="3"/>
  <c r="DX655" i="3"/>
  <c r="CT755" i="3"/>
  <c r="DX661" i="3"/>
  <c r="DX668" i="3"/>
  <c r="DX648" i="3"/>
  <c r="DX656" i="3"/>
  <c r="DX639" i="3"/>
  <c r="DX645" i="3"/>
  <c r="DX660" i="3"/>
  <c r="DX662" i="3"/>
  <c r="CP802" i="3"/>
  <c r="AB986" i="3" s="1"/>
  <c r="DX653" i="3"/>
  <c r="DX663" i="3"/>
  <c r="DX654" i="3"/>
  <c r="G24" i="21"/>
  <c r="D7" i="11"/>
  <c r="AO628" i="3"/>
  <c r="G108" i="4" s="1"/>
  <c r="G75" i="4" s="1"/>
  <c r="G77" i="4" s="1"/>
  <c r="G97" i="4" s="1"/>
  <c r="G105" i="4" s="1"/>
  <c r="C43" i="4"/>
  <c r="C5" i="4"/>
  <c r="AO632" i="3"/>
  <c r="K108" i="4" s="1"/>
  <c r="W632" i="3"/>
  <c r="T632" i="3"/>
  <c r="Q632" i="3"/>
  <c r="C632" i="3"/>
  <c r="AO631" i="3"/>
  <c r="E5" i="4" l="1"/>
  <c r="R5" i="4" s="1"/>
  <c r="B5" i="13"/>
  <c r="C5" i="13" s="1"/>
  <c r="C8" i="13" s="1"/>
  <c r="C12" i="13" s="1"/>
  <c r="B6" i="11"/>
  <c r="B9" i="11" s="1"/>
  <c r="B13" i="11" s="1"/>
  <c r="C6" i="11"/>
  <c r="B5" i="4"/>
  <c r="C8" i="4"/>
  <c r="E43" i="4"/>
  <c r="R43" i="4" s="1"/>
  <c r="S43" i="4"/>
  <c r="E43" i="13" s="1"/>
  <c r="F43" i="13" s="1"/>
  <c r="B44" i="11"/>
  <c r="B43" i="4"/>
  <c r="C44" i="11"/>
  <c r="B43" i="13"/>
  <c r="C43" i="13" s="1"/>
  <c r="AT633" i="3"/>
  <c r="Z659" i="3"/>
  <c r="K2" i="4"/>
  <c r="Z631" i="3"/>
  <c r="C631" i="3"/>
  <c r="Q631" i="3"/>
  <c r="M631" i="3"/>
  <c r="W631" i="3"/>
  <c r="J108" i="4"/>
  <c r="J4" i="4" s="1"/>
  <c r="AJ986" i="3"/>
  <c r="C12" i="4" l="1"/>
  <c r="B12" i="13" s="1"/>
  <c r="B8" i="13"/>
  <c r="B8" i="4"/>
  <c r="D6" i="11"/>
  <c r="C9" i="11"/>
  <c r="D44" i="11"/>
  <c r="E4" i="4"/>
  <c r="J8" i="4"/>
  <c r="AT630" i="3"/>
  <c r="AT631" i="3"/>
  <c r="AT632" i="3"/>
  <c r="G659" i="3"/>
  <c r="J2" i="4"/>
  <c r="O34" i="21"/>
  <c r="P34" i="21" s="1" a="1"/>
  <c r="P34" i="21" s="1"/>
  <c r="S34" i="21" s="1"/>
  <c r="O32" i="21"/>
  <c r="P32" i="21" s="1" a="1"/>
  <c r="P32" i="21" s="1"/>
  <c r="S32" i="21" s="1"/>
  <c r="O26" i="21"/>
  <c r="P26" i="21" s="1" a="1"/>
  <c r="P26" i="21" s="1"/>
  <c r="S26" i="21" s="1"/>
  <c r="O42" i="21"/>
  <c r="P42" i="21" s="1" a="1"/>
  <c r="P42" i="21" s="1"/>
  <c r="S42" i="21" s="1"/>
  <c r="O28" i="21"/>
  <c r="P28" i="21" s="1" a="1"/>
  <c r="P28" i="21" s="1"/>
  <c r="S28" i="21" s="1"/>
  <c r="O38" i="21"/>
  <c r="P38" i="21" s="1" a="1"/>
  <c r="P38" i="21" s="1"/>
  <c r="S38" i="21" s="1"/>
  <c r="O40" i="21"/>
  <c r="P40" i="21" s="1" a="1"/>
  <c r="P40" i="21" s="1"/>
  <c r="S40" i="21" s="1"/>
  <c r="N189" i="23" l="1"/>
  <c r="B12" i="4"/>
  <c r="D9" i="11"/>
  <c r="C13" i="11"/>
  <c r="D13" i="11" s="1"/>
  <c r="G662" i="3"/>
  <c r="G660" i="3"/>
  <c r="N665" i="3"/>
  <c r="BI558" i="3" s="1"/>
  <c r="G663" i="3"/>
  <c r="G661" i="3"/>
  <c r="H664" i="3"/>
  <c r="J12" i="4"/>
  <c r="J63" i="4"/>
  <c r="J97" i="4" s="1"/>
  <c r="J105" i="4" s="1"/>
  <c r="R4" i="4"/>
  <c r="R8" i="4" s="1"/>
  <c r="R12" i="4" s="1"/>
  <c r="E8" i="4"/>
  <c r="E12" i="4" s="1"/>
  <c r="X776" i="3" l="1"/>
  <c r="AC776" i="3" s="1"/>
  <c r="AH730" i="3" l="1"/>
  <c r="AH726" i="3"/>
  <c r="AH736" i="3"/>
  <c r="AH724" i="3"/>
  <c r="AH732" i="3"/>
  <c r="AE29" i="7"/>
  <c r="AG437" i="3"/>
  <c r="BA1038" i="3" s="1"/>
  <c r="AG438" i="3"/>
  <c r="BE41" i="3" s="1"/>
  <c r="AG439" i="3"/>
  <c r="AG440" i="3"/>
  <c r="AG441" i="3" s="1"/>
  <c r="AG442" i="3"/>
  <c r="AG443" i="3"/>
  <c r="AG444" i="3" s="1"/>
  <c r="AG448" i="3"/>
  <c r="W473" i="3"/>
  <c r="AO13" i="23" s="1"/>
  <c r="AC540" i="3"/>
  <c r="AH540" i="3"/>
  <c r="AC541" i="3"/>
  <c r="AH541" i="3"/>
  <c r="AC542" i="3"/>
  <c r="AH542" i="3"/>
  <c r="AM554" i="3"/>
  <c r="AM555" i="3"/>
  <c r="AM556" i="3"/>
  <c r="AM557" i="3"/>
  <c r="AM558" i="3"/>
  <c r="AM559" i="3"/>
  <c r="AF627" i="3"/>
  <c r="E40" i="7" s="1"/>
  <c r="AO627" i="3"/>
  <c r="AO629" i="3"/>
  <c r="AE699" i="3"/>
  <c r="O718" i="3"/>
  <c r="T718" i="3"/>
  <c r="O719" i="3"/>
  <c r="X719" i="3" s="1"/>
  <c r="O720" i="3"/>
  <c r="AQ114" i="20" s="1"/>
  <c r="T720" i="3"/>
  <c r="O721" i="3"/>
  <c r="T721" i="3"/>
  <c r="O722" i="3"/>
  <c r="X722" i="3" s="1"/>
  <c r="O723" i="3"/>
  <c r="X723" i="3" s="1"/>
  <c r="O724" i="3"/>
  <c r="D10" i="8" s="1"/>
  <c r="O725" i="3"/>
  <c r="D11" i="8" s="1"/>
  <c r="X725" i="3"/>
  <c r="O726" i="3"/>
  <c r="AQ120" i="20" s="1"/>
  <c r="O727" i="3"/>
  <c r="T727" i="3"/>
  <c r="X727" i="3"/>
  <c r="AH727" i="3" s="1"/>
  <c r="O728" i="3"/>
  <c r="X728" i="3" s="1"/>
  <c r="O729" i="3"/>
  <c r="X729" i="3"/>
  <c r="K730" i="3"/>
  <c r="O730" i="3"/>
  <c r="AQ124" i="20" s="1"/>
  <c r="O731" i="3"/>
  <c r="X731" i="3" s="1"/>
  <c r="O732" i="3"/>
  <c r="AQ126" i="20" s="1"/>
  <c r="G733" i="3"/>
  <c r="M35" i="21" s="1"/>
  <c r="O733" i="3"/>
  <c r="O734" i="3"/>
  <c r="AQ128" i="20" s="1"/>
  <c r="T734" i="3"/>
  <c r="O735" i="3"/>
  <c r="O736" i="3"/>
  <c r="X736" i="3" s="1"/>
  <c r="O737" i="3"/>
  <c r="X737" i="3" s="1"/>
  <c r="O738" i="3"/>
  <c r="AQ132" i="20" s="1"/>
  <c r="X738" i="3"/>
  <c r="G739" i="3"/>
  <c r="T739" i="3" s="1"/>
  <c r="O739" i="3"/>
  <c r="O740" i="3"/>
  <c r="D26" i="8" s="1"/>
  <c r="O741" i="3"/>
  <c r="X741" i="3" s="1"/>
  <c r="O773" i="3"/>
  <c r="T773" i="3"/>
  <c r="X773" i="3"/>
  <c r="AC773" i="3" s="1"/>
  <c r="O774" i="3"/>
  <c r="T774" i="3"/>
  <c r="X774" i="3"/>
  <c r="O775" i="3"/>
  <c r="T775" i="3"/>
  <c r="X775" i="3"/>
  <c r="Z813" i="3"/>
  <c r="Z814" i="3"/>
  <c r="Z815" i="3"/>
  <c r="Z816" i="3"/>
  <c r="W849" i="3"/>
  <c r="E16" i="7" s="1"/>
  <c r="G16" i="7" s="1"/>
  <c r="I16" i="7" s="1"/>
  <c r="K16" i="7" s="1"/>
  <c r="M16" i="7" s="1"/>
  <c r="O16" i="7" s="1"/>
  <c r="W851" i="3"/>
  <c r="W852" i="3"/>
  <c r="W853" i="3"/>
  <c r="W854" i="3"/>
  <c r="T858" i="3"/>
  <c r="W863" i="3"/>
  <c r="E19" i="7" s="1"/>
  <c r="G19" i="7" s="1"/>
  <c r="I19" i="7" s="1"/>
  <c r="K19" i="7" s="1"/>
  <c r="M19" i="7" s="1"/>
  <c r="O19" i="7" s="1"/>
  <c r="Q19" i="7" s="1"/>
  <c r="S19" i="7" s="1"/>
  <c r="U19" i="7" s="1"/>
  <c r="W19" i="7" s="1"/>
  <c r="Y19" i="7" s="1"/>
  <c r="AA19" i="7" s="1"/>
  <c r="AC19" i="7" s="1"/>
  <c r="AE19" i="7" s="1"/>
  <c r="AG19" i="7" s="1"/>
  <c r="W866" i="3"/>
  <c r="W867" i="3"/>
  <c r="W871" i="3"/>
  <c r="W877" i="3"/>
  <c r="W879" i="3" s="1"/>
  <c r="E21" i="7" s="1"/>
  <c r="G21" i="7" s="1"/>
  <c r="I21" i="7" s="1"/>
  <c r="K21" i="7" s="1"/>
  <c r="M21" i="7" s="1"/>
  <c r="O21" i="7" s="1"/>
  <c r="Q21" i="7" s="1"/>
  <c r="S21" i="7" s="1"/>
  <c r="U21" i="7" s="1"/>
  <c r="W21" i="7" s="1"/>
  <c r="Y21" i="7" s="1"/>
  <c r="AA21" i="7" s="1"/>
  <c r="AC21" i="7" s="1"/>
  <c r="AE21" i="7" s="1"/>
  <c r="AG21" i="7" s="1"/>
  <c r="AC886" i="3"/>
  <c r="AC888" i="3"/>
  <c r="E27" i="7" s="1"/>
  <c r="G27" i="7" s="1"/>
  <c r="I27" i="7" s="1"/>
  <c r="K27" i="7" s="1"/>
  <c r="M27" i="7" s="1"/>
  <c r="O27" i="7" s="1"/>
  <c r="Q27" i="7" s="1"/>
  <c r="S27" i="7" s="1"/>
  <c r="U27" i="7" s="1"/>
  <c r="W27" i="7" s="1"/>
  <c r="Y27" i="7" s="1"/>
  <c r="AA27" i="7" s="1"/>
  <c r="AC27" i="7" s="1"/>
  <c r="AE27" i="7" s="1"/>
  <c r="AG27" i="7" s="1"/>
  <c r="AC889" i="3"/>
  <c r="E28" i="7" s="1"/>
  <c r="AE28" i="7" s="1"/>
  <c r="AC890" i="3"/>
  <c r="E29" i="7" s="1"/>
  <c r="U29" i="7" s="1"/>
  <c r="AC891" i="3"/>
  <c r="E30" i="7" s="1"/>
  <c r="G30" i="7" s="1"/>
  <c r="I30" i="7" s="1"/>
  <c r="K30" i="7" s="1"/>
  <c r="M30" i="7" s="1"/>
  <c r="O30" i="7" s="1"/>
  <c r="Q30" i="7" s="1"/>
  <c r="S30" i="7" s="1"/>
  <c r="U30" i="7" s="1"/>
  <c r="W30" i="7" s="1"/>
  <c r="Y30" i="7" s="1"/>
  <c r="AA30" i="7" s="1"/>
  <c r="AC30" i="7" s="1"/>
  <c r="AE30" i="7" s="1"/>
  <c r="AG30" i="7" s="1"/>
  <c r="AA918" i="3"/>
  <c r="AA949" i="3"/>
  <c r="AA950" i="3"/>
  <c r="AQ116" i="20"/>
  <c r="AQ119" i="20"/>
  <c r="AQ123" i="20"/>
  <c r="AQ125" i="20"/>
  <c r="AQ127" i="20"/>
  <c r="AD199" i="20"/>
  <c r="AD211" i="20" s="1"/>
  <c r="B31" i="13"/>
  <c r="C31" i="13"/>
  <c r="B36" i="13"/>
  <c r="C36" i="13" s="1"/>
  <c r="B49" i="13"/>
  <c r="C49" i="13" s="1"/>
  <c r="B52" i="13"/>
  <c r="C52" i="13"/>
  <c r="E52" i="13"/>
  <c r="F52" i="13" s="1"/>
  <c r="D30" i="4"/>
  <c r="C30" i="4" s="1"/>
  <c r="B30" i="4" s="1"/>
  <c r="C31" i="4"/>
  <c r="B32" i="11" s="1"/>
  <c r="S31" i="4"/>
  <c r="E31" i="13" s="1"/>
  <c r="F31" i="13" s="1"/>
  <c r="C32" i="4"/>
  <c r="C33" i="11" s="1"/>
  <c r="C33" i="4"/>
  <c r="B33" i="13" s="1"/>
  <c r="C33" i="13" s="1"/>
  <c r="C36" i="4"/>
  <c r="B36" i="4" s="1"/>
  <c r="S36" i="4"/>
  <c r="E36" i="13" s="1"/>
  <c r="F36" i="13" s="1"/>
  <c r="C37" i="4"/>
  <c r="B37" i="4" s="1"/>
  <c r="C45" i="4"/>
  <c r="B45" i="4" s="1"/>
  <c r="S45" i="4"/>
  <c r="E45" i="13" s="1"/>
  <c r="F45" i="13" s="1"/>
  <c r="C46" i="4"/>
  <c r="B47" i="11" s="1"/>
  <c r="S46" i="4"/>
  <c r="E46" i="13" s="1"/>
  <c r="F46" i="13" s="1"/>
  <c r="C48" i="4"/>
  <c r="B48" i="13" s="1"/>
  <c r="C48" i="13" s="1"/>
  <c r="E48" i="4"/>
  <c r="R48" i="4" s="1"/>
  <c r="C49" i="4"/>
  <c r="B49" i="4" s="1"/>
  <c r="C51" i="4"/>
  <c r="B51" i="4" s="1"/>
  <c r="C52" i="4"/>
  <c r="B52" i="4" s="1"/>
  <c r="E52" i="4"/>
  <c r="R52" i="4" s="1"/>
  <c r="S52" i="4"/>
  <c r="C56" i="4"/>
  <c r="B56" i="4" s="1"/>
  <c r="E56" i="4"/>
  <c r="R56" i="4" s="1"/>
  <c r="R62" i="4" s="1"/>
  <c r="C62" i="4"/>
  <c r="B62" i="13" s="1"/>
  <c r="E62" i="4"/>
  <c r="C75" i="4"/>
  <c r="B75" i="13" s="1"/>
  <c r="C75" i="13" s="1"/>
  <c r="C77" i="13" s="1"/>
  <c r="C79" i="4"/>
  <c r="E79" i="4"/>
  <c r="R79" i="4" s="1"/>
  <c r="S79" i="4"/>
  <c r="E79" i="13" s="1"/>
  <c r="F79" i="13" s="1"/>
  <c r="C80" i="4"/>
  <c r="B80" i="13" s="1"/>
  <c r="C80" i="13" s="1"/>
  <c r="C83" i="4"/>
  <c r="E83" i="4" s="1"/>
  <c r="C85" i="4"/>
  <c r="B85" i="13" s="1"/>
  <c r="C85" i="13" s="1"/>
  <c r="C86" i="4"/>
  <c r="B86" i="13" s="1"/>
  <c r="C86" i="13" s="1"/>
  <c r="S86" i="4"/>
  <c r="E86" i="13" s="1"/>
  <c r="F86" i="13" s="1"/>
  <c r="C87" i="4"/>
  <c r="E87" i="4" s="1"/>
  <c r="R87" i="4" s="1"/>
  <c r="C88" i="4"/>
  <c r="B89" i="11" s="1"/>
  <c r="C99" i="4"/>
  <c r="B99" i="4" s="1"/>
  <c r="D8" i="8"/>
  <c r="D15" i="8"/>
  <c r="D17" i="8"/>
  <c r="D18" i="8"/>
  <c r="D19" i="8"/>
  <c r="I9" i="21"/>
  <c r="G143" i="21" s="1"/>
  <c r="AC774" i="3" l="1"/>
  <c r="X730" i="3"/>
  <c r="O777" i="3"/>
  <c r="S37" i="4"/>
  <c r="E37" i="13" s="1"/>
  <c r="F37" i="13" s="1"/>
  <c r="C81" i="4"/>
  <c r="B81" i="13" s="1"/>
  <c r="B19" i="8"/>
  <c r="G19" i="8" s="1"/>
  <c r="F37" i="4"/>
  <c r="E37" i="4" s="1"/>
  <c r="R37" i="4" s="1"/>
  <c r="AQ122" i="20"/>
  <c r="AC29" i="7"/>
  <c r="AA29" i="7"/>
  <c r="Y29" i="7"/>
  <c r="AQ118" i="20"/>
  <c r="W28" i="7"/>
  <c r="X724" i="3"/>
  <c r="B79" i="13"/>
  <c r="C79" i="13" s="1"/>
  <c r="C81" i="13" s="1"/>
  <c r="AV119" i="20" a="1"/>
  <c r="AV119" i="20" s="1"/>
  <c r="S49" i="4"/>
  <c r="E49" i="13" s="1"/>
  <c r="F49" i="13" s="1"/>
  <c r="E49" i="4"/>
  <c r="R49" i="4" s="1"/>
  <c r="D16" i="8"/>
  <c r="D14" i="8"/>
  <c r="S85" i="4"/>
  <c r="E85" i="13" s="1"/>
  <c r="F85" i="13" s="1"/>
  <c r="B56" i="13"/>
  <c r="C56" i="13" s="1"/>
  <c r="C62" i="13" s="1"/>
  <c r="AC775" i="3"/>
  <c r="X721" i="3"/>
  <c r="AH721" i="3" s="1"/>
  <c r="W855" i="3"/>
  <c r="B88" i="4"/>
  <c r="E85" i="4"/>
  <c r="R85" i="4" s="1"/>
  <c r="B33" i="4"/>
  <c r="C57" i="11"/>
  <c r="C63" i="11" s="1"/>
  <c r="FJ734" i="3"/>
  <c r="U28" i="7"/>
  <c r="AG450" i="3"/>
  <c r="BE24" i="3" s="1"/>
  <c r="C77" i="4"/>
  <c r="B77" i="13" s="1"/>
  <c r="Z817" i="3"/>
  <c r="E8" i="7" s="1"/>
  <c r="AC777" i="3"/>
  <c r="S28" i="7"/>
  <c r="AQ135" i="20"/>
  <c r="X718" i="3"/>
  <c r="AH718" i="3" s="1"/>
  <c r="D6" i="8"/>
  <c r="C798" i="3"/>
  <c r="D27" i="8"/>
  <c r="B88" i="13"/>
  <c r="C88" i="13" s="1"/>
  <c r="AQ134" i="20"/>
  <c r="EZ720" i="3"/>
  <c r="DX637" i="3" s="1"/>
  <c r="B100" i="11"/>
  <c r="B105" i="11" s="1"/>
  <c r="C37" i="11"/>
  <c r="B37" i="11"/>
  <c r="S80" i="4"/>
  <c r="E80" i="13" s="1"/>
  <c r="F80" i="13" s="1"/>
  <c r="E80" i="4"/>
  <c r="R80" i="4" s="1"/>
  <c r="S48" i="4"/>
  <c r="E48" i="13" s="1"/>
  <c r="F48" i="13" s="1"/>
  <c r="X720" i="3"/>
  <c r="AH720" i="3" s="1"/>
  <c r="AQ131" i="20"/>
  <c r="E86" i="4"/>
  <c r="R86" i="4" s="1"/>
  <c r="B77" i="4"/>
  <c r="S32" i="4"/>
  <c r="E32" i="13" s="1"/>
  <c r="F32" i="13" s="1"/>
  <c r="C50" i="11"/>
  <c r="E75" i="4"/>
  <c r="R75" i="4" s="1"/>
  <c r="R77" i="4" s="1"/>
  <c r="F32" i="4"/>
  <c r="E32" i="4" s="1"/>
  <c r="R32" i="4" s="1"/>
  <c r="B50" i="11"/>
  <c r="B48" i="4"/>
  <c r="Q28" i="7"/>
  <c r="B85" i="4"/>
  <c r="O28" i="7"/>
  <c r="B75" i="4"/>
  <c r="E46" i="4"/>
  <c r="R46" i="4" s="1"/>
  <c r="B31" i="4"/>
  <c r="F31" i="4" s="1"/>
  <c r="E31" i="4" s="1"/>
  <c r="R31" i="4" s="1"/>
  <c r="C87" i="11"/>
  <c r="X734" i="3"/>
  <c r="AH734" i="3" s="1"/>
  <c r="M28" i="7"/>
  <c r="C34" i="11"/>
  <c r="T212" i="3"/>
  <c r="K28" i="7"/>
  <c r="B34" i="11"/>
  <c r="AQ113" i="20"/>
  <c r="D12" i="8"/>
  <c r="B87" i="11"/>
  <c r="BE40" i="3"/>
  <c r="D5" i="8"/>
  <c r="C86" i="11"/>
  <c r="X732" i="3"/>
  <c r="BE39" i="3"/>
  <c r="B86" i="11"/>
  <c r="C32" i="11"/>
  <c r="D32" i="11" s="1"/>
  <c r="AM566" i="3"/>
  <c r="AO640" i="3" s="1"/>
  <c r="E108" i="4" s="1"/>
  <c r="BE21" i="3"/>
  <c r="X726" i="3"/>
  <c r="C49" i="11"/>
  <c r="B49" i="11"/>
  <c r="B83" i="4"/>
  <c r="D38" i="4"/>
  <c r="D63" i="4" s="1"/>
  <c r="D97" i="4" s="1"/>
  <c r="D105" i="4" s="1"/>
  <c r="BE68" i="3" s="1"/>
  <c r="AZ1045" i="3"/>
  <c r="AZ1052" i="3" s="1"/>
  <c r="C84" i="11"/>
  <c r="S51" i="4"/>
  <c r="E51" i="13" s="1"/>
  <c r="F51" i="13" s="1"/>
  <c r="B84" i="11"/>
  <c r="B83" i="13"/>
  <c r="C83" i="13" s="1"/>
  <c r="C76" i="11"/>
  <c r="C78" i="11" s="1"/>
  <c r="X740" i="3"/>
  <c r="C96" i="4"/>
  <c r="B96" i="4" s="1"/>
  <c r="D24" i="8"/>
  <c r="E51" i="4"/>
  <c r="R51" i="4" s="1"/>
  <c r="D23" i="8"/>
  <c r="B76" i="11"/>
  <c r="B78" i="11" s="1"/>
  <c r="D20" i="8"/>
  <c r="B46" i="13"/>
  <c r="C46" i="13" s="1"/>
  <c r="AG29" i="7"/>
  <c r="B81" i="4"/>
  <c r="B32" i="13"/>
  <c r="C32" i="13" s="1"/>
  <c r="B33" i="11"/>
  <c r="D33" i="11" s="1"/>
  <c r="B32" i="4"/>
  <c r="D21" i="8"/>
  <c r="X735" i="3"/>
  <c r="AQ129" i="20"/>
  <c r="H99" i="4"/>
  <c r="H104" i="4" s="1"/>
  <c r="H105" i="4" s="1"/>
  <c r="H108" i="4"/>
  <c r="R83" i="4"/>
  <c r="R96" i="4" s="1"/>
  <c r="FE727" i="3"/>
  <c r="AQ121" i="20"/>
  <c r="D13" i="8"/>
  <c r="BF739" i="3"/>
  <c r="BS739" i="3"/>
  <c r="B25" i="8"/>
  <c r="G25" i="8" s="1"/>
  <c r="G40" i="8" s="1"/>
  <c r="AC739" i="3"/>
  <c r="M41" i="21"/>
  <c r="AZ739" i="3"/>
  <c r="DE739" i="3"/>
  <c r="D9" i="8"/>
  <c r="AQ117" i="20"/>
  <c r="AO639" i="3"/>
  <c r="F108" i="4"/>
  <c r="N10" i="23"/>
  <c r="AG445" i="3"/>
  <c r="D25" i="8"/>
  <c r="X739" i="3"/>
  <c r="W872" i="3"/>
  <c r="E20" i="7" s="1"/>
  <c r="G20" i="7" s="1"/>
  <c r="I20" i="7" s="1"/>
  <c r="K20" i="7" s="1"/>
  <c r="M20" i="7" s="1"/>
  <c r="O20" i="7" s="1"/>
  <c r="Q20" i="7" s="1"/>
  <c r="S20" i="7" s="1"/>
  <c r="U20" i="7" s="1"/>
  <c r="W20" i="7" s="1"/>
  <c r="Y20" i="7" s="1"/>
  <c r="AA20" i="7" s="1"/>
  <c r="AC20" i="7" s="1"/>
  <c r="AE20" i="7" s="1"/>
  <c r="AG20" i="7" s="1"/>
  <c r="AQ133" i="20"/>
  <c r="G40" i="7"/>
  <c r="G43" i="7" s="1"/>
  <c r="I40" i="7"/>
  <c r="I43" i="7" s="1"/>
  <c r="K40" i="7"/>
  <c r="K43" i="7" s="1"/>
  <c r="M40" i="7"/>
  <c r="M43" i="7" s="1"/>
  <c r="O40" i="7"/>
  <c r="O43" i="7" s="1"/>
  <c r="Q40" i="7"/>
  <c r="Q43" i="7" s="1"/>
  <c r="S40" i="7"/>
  <c r="S43" i="7" s="1"/>
  <c r="U40" i="7"/>
  <c r="U43" i="7" s="1"/>
  <c r="W40" i="7"/>
  <c r="W43" i="7" s="1"/>
  <c r="Y40" i="7"/>
  <c r="Y43" i="7" s="1"/>
  <c r="E43" i="7"/>
  <c r="AA40" i="7"/>
  <c r="AA43" i="7" s="1"/>
  <c r="AC40" i="7"/>
  <c r="AC43" i="7" s="1"/>
  <c r="AE40" i="7"/>
  <c r="AE43" i="7" s="1"/>
  <c r="AG40" i="7"/>
  <c r="AG43" i="7" s="1"/>
  <c r="E17" i="7"/>
  <c r="B51" i="13"/>
  <c r="C51" i="13" s="1"/>
  <c r="B52" i="11"/>
  <c r="C52" i="11"/>
  <c r="D52" i="11" s="1"/>
  <c r="C38" i="4"/>
  <c r="O35" i="21"/>
  <c r="E26" i="21"/>
  <c r="P35" i="21" a="1"/>
  <c r="P35" i="21" s="1"/>
  <c r="R35" i="21" a="1"/>
  <c r="R35" i="21" s="1"/>
  <c r="T35" i="21"/>
  <c r="AZ733" i="3"/>
  <c r="BF733" i="3"/>
  <c r="AV120" i="20" a="1"/>
  <c r="AV120" i="20" s="1"/>
  <c r="BS733" i="3"/>
  <c r="AV116" i="20" a="1"/>
  <c r="AV116" i="20" s="1"/>
  <c r="AV121" i="20" a="1"/>
  <c r="AV121" i="20" s="1"/>
  <c r="T733" i="3"/>
  <c r="X733" i="3" s="1"/>
  <c r="AC733" i="3"/>
  <c r="AV118" i="20" a="1"/>
  <c r="AV118" i="20" s="1"/>
  <c r="CZ733" i="3"/>
  <c r="O753" i="3"/>
  <c r="AV117" i="20" a="1"/>
  <c r="AV117" i="20" s="1"/>
  <c r="G753" i="3"/>
  <c r="F81" i="13"/>
  <c r="G8" i="7"/>
  <c r="E9" i="7"/>
  <c r="R81" i="4"/>
  <c r="C54" i="4"/>
  <c r="B46" i="11"/>
  <c r="C46" i="11"/>
  <c r="E45" i="4"/>
  <c r="B45" i="13"/>
  <c r="C45" i="13" s="1"/>
  <c r="M18" i="21"/>
  <c r="U35" i="21"/>
  <c r="S35" i="21"/>
  <c r="B81" i="11"/>
  <c r="C81" i="11"/>
  <c r="D81" i="11" s="1"/>
  <c r="B38" i="11"/>
  <c r="C38" i="11"/>
  <c r="B37" i="13"/>
  <c r="C37" i="13" s="1"/>
  <c r="B30" i="13"/>
  <c r="C30" i="13" s="1"/>
  <c r="F30" i="4"/>
  <c r="S30" i="4"/>
  <c r="B31" i="11"/>
  <c r="C31" i="11"/>
  <c r="Q16" i="7"/>
  <c r="EZ721" i="3"/>
  <c r="DX638" i="3" s="1"/>
  <c r="AQ115" i="20"/>
  <c r="D7" i="8"/>
  <c r="B88" i="11"/>
  <c r="S87" i="4"/>
  <c r="C88" i="11"/>
  <c r="W29" i="7"/>
  <c r="EZ718" i="3"/>
  <c r="AQ112" i="20"/>
  <c r="D4" i="8"/>
  <c r="D22" i="8"/>
  <c r="AQ130" i="20"/>
  <c r="B62" i="4"/>
  <c r="B87" i="13"/>
  <c r="C87" i="13" s="1"/>
  <c r="AG28" i="7"/>
  <c r="B80" i="4"/>
  <c r="S81" i="4"/>
  <c r="E81" i="13" s="1"/>
  <c r="B80" i="11"/>
  <c r="C80" i="11"/>
  <c r="B79" i="4"/>
  <c r="B86" i="4"/>
  <c r="B46" i="4"/>
  <c r="G29" i="7"/>
  <c r="I29" i="7"/>
  <c r="K29" i="7"/>
  <c r="M29" i="7"/>
  <c r="O29" i="7"/>
  <c r="Q29" i="7"/>
  <c r="S29" i="7"/>
  <c r="B87" i="4"/>
  <c r="G144" i="21"/>
  <c r="S54" i="4"/>
  <c r="E54" i="13" s="1"/>
  <c r="G28" i="7"/>
  <c r="I28" i="7"/>
  <c r="AC28" i="7"/>
  <c r="B53" i="11"/>
  <c r="C53" i="11"/>
  <c r="D53" i="11" s="1"/>
  <c r="F33" i="4"/>
  <c r="E33" i="4" s="1"/>
  <c r="R33" i="4" s="1"/>
  <c r="S33" i="4"/>
  <c r="E33" i="13" s="1"/>
  <c r="F33" i="13" s="1"/>
  <c r="C47" i="11"/>
  <c r="D47" i="11" s="1"/>
  <c r="AA28" i="7"/>
  <c r="AF418" i="3"/>
  <c r="AP582" i="20" s="1"/>
  <c r="S99" i="4"/>
  <c r="C104" i="4"/>
  <c r="B99" i="13"/>
  <c r="C99" i="13" s="1"/>
  <c r="C104" i="13" s="1"/>
  <c r="C100" i="11"/>
  <c r="Y28" i="7"/>
  <c r="F36" i="4"/>
  <c r="E36" i="4" s="1"/>
  <c r="R36" i="4" s="1"/>
  <c r="B57" i="11"/>
  <c r="C89" i="11"/>
  <c r="D89" i="11" s="1"/>
  <c r="E88" i="4"/>
  <c r="R88" i="4" s="1"/>
  <c r="F54" i="13" l="1"/>
  <c r="D78" i="11"/>
  <c r="D76" i="11"/>
  <c r="E99" i="4"/>
  <c r="N188" i="23"/>
  <c r="N195" i="23" s="1"/>
  <c r="AZ1049" i="3"/>
  <c r="E81" i="4"/>
  <c r="C96" i="13"/>
  <c r="D34" i="11"/>
  <c r="B96" i="13"/>
  <c r="E77" i="4"/>
  <c r="B97" i="11"/>
  <c r="BS753" i="3"/>
  <c r="BT731" i="3" s="1"/>
  <c r="BU731" i="3" s="1"/>
  <c r="D49" i="11"/>
  <c r="C38" i="13"/>
  <c r="D86" i="11"/>
  <c r="D87" i="11"/>
  <c r="D50" i="11"/>
  <c r="D84" i="11"/>
  <c r="E96" i="4"/>
  <c r="D88" i="11"/>
  <c r="AF1014" i="3"/>
  <c r="BA1042" i="3"/>
  <c r="BD1051" i="3" s="1" a="1"/>
  <c r="BD1051" i="3" s="1"/>
  <c r="AY1003" i="3"/>
  <c r="C757" i="3"/>
  <c r="Y69" i="15"/>
  <c r="AX690" i="20"/>
  <c r="E87" i="13"/>
  <c r="F87" i="13" s="1"/>
  <c r="F96" i="13" s="1"/>
  <c r="S96" i="4"/>
  <c r="E96" i="13" s="1"/>
  <c r="C39" i="11"/>
  <c r="D31" i="11"/>
  <c r="B54" i="4"/>
  <c r="B54" i="13"/>
  <c r="AO641" i="3"/>
  <c r="AB48" i="15"/>
  <c r="B39" i="11"/>
  <c r="AV122" i="20"/>
  <c r="AW119" i="20" s="1"/>
  <c r="B82" i="11"/>
  <c r="S38" i="4"/>
  <c r="E30" i="13"/>
  <c r="F30" i="13" s="1"/>
  <c r="F38" i="13" s="1"/>
  <c r="F63" i="13" s="1"/>
  <c r="DE753" i="3"/>
  <c r="FO739" i="3"/>
  <c r="BE5" i="3"/>
  <c r="BE6" i="3" s="1"/>
  <c r="BE7" i="3" s="1"/>
  <c r="AH733" i="3"/>
  <c r="N35" i="21"/>
  <c r="AN24" i="23" a="1"/>
  <c r="AN24" i="23" s="1"/>
  <c r="AN19" i="23" a="1"/>
  <c r="AN19" i="23" s="1"/>
  <c r="AB21" i="23" a="1"/>
  <c r="AB21" i="23" s="1"/>
  <c r="P23" i="23" a="1"/>
  <c r="P23" i="23" s="1"/>
  <c r="AH21" i="23" a="1"/>
  <c r="AH21" i="23" s="1"/>
  <c r="V23" i="23" a="1"/>
  <c r="V23" i="23" s="1"/>
  <c r="P20" i="23" a="1"/>
  <c r="P20" i="23" s="1"/>
  <c r="AN21" i="23" a="1"/>
  <c r="AN21" i="23" s="1"/>
  <c r="AB23" i="23" a="1"/>
  <c r="AB23" i="23" s="1"/>
  <c r="V20" i="23" a="1"/>
  <c r="V20" i="23" s="1"/>
  <c r="AH23" i="23" a="1"/>
  <c r="AH23" i="23" s="1"/>
  <c r="AH19" i="23" a="1"/>
  <c r="AH19" i="23" s="1"/>
  <c r="AH22" i="23" a="1"/>
  <c r="AH22" i="23" s="1"/>
  <c r="EE733" i="3"/>
  <c r="AB20" i="23" a="1"/>
  <c r="AB20" i="23" s="1"/>
  <c r="AN22" i="23" a="1"/>
  <c r="AN22" i="23" s="1"/>
  <c r="DZ733" i="3"/>
  <c r="P24" i="23" a="1"/>
  <c r="P24" i="23" s="1"/>
  <c r="CG733" i="3"/>
  <c r="CI733" i="3" s="1"/>
  <c r="AH20" i="23" a="1"/>
  <c r="AH20" i="23" s="1"/>
  <c r="DU733" i="3"/>
  <c r="P21" i="23" a="1"/>
  <c r="P21" i="23" s="1"/>
  <c r="CK733" i="3"/>
  <c r="CM733" i="3" s="1"/>
  <c r="AN20" i="23" a="1"/>
  <c r="AN20" i="23" s="1"/>
  <c r="AN23" i="23" a="1"/>
  <c r="AN23" i="23" s="1"/>
  <c r="EO733" i="3"/>
  <c r="AB22" i="23" a="1"/>
  <c r="AB22" i="23" s="1"/>
  <c r="ET733" i="3"/>
  <c r="P19" i="23" a="1"/>
  <c r="P19" i="23" s="1"/>
  <c r="V24" i="23" a="1"/>
  <c r="V24" i="23" s="1"/>
  <c r="E105" i="20"/>
  <c r="V19" i="23" a="1"/>
  <c r="V19" i="23" s="1"/>
  <c r="E104" i="20"/>
  <c r="V22" i="23" a="1"/>
  <c r="V22" i="23" s="1"/>
  <c r="AB19" i="23" a="1"/>
  <c r="AB19" i="23" s="1"/>
  <c r="V21" i="23" a="1"/>
  <c r="V21" i="23" s="1"/>
  <c r="AB24" i="23" a="1"/>
  <c r="AB24" i="23" s="1"/>
  <c r="EJ733" i="3"/>
  <c r="P22" i="23" a="1"/>
  <c r="P22" i="23" s="1"/>
  <c r="AH24" i="23" a="1"/>
  <c r="AH24" i="23" s="1"/>
  <c r="BT721" i="3"/>
  <c r="BU721" i="3" s="1"/>
  <c r="BT740" i="3"/>
  <c r="BU740" i="3" s="1"/>
  <c r="BT739" i="3"/>
  <c r="BU739" i="3" s="1"/>
  <c r="BT745" i="3"/>
  <c r="BU745" i="3" s="1"/>
  <c r="BT719" i="3"/>
  <c r="BU719" i="3" s="1"/>
  <c r="BT737" i="3"/>
  <c r="BU737" i="3" s="1"/>
  <c r="BT733" i="3"/>
  <c r="BU733" i="3" s="1"/>
  <c r="BT734" i="3"/>
  <c r="BU734" i="3" s="1"/>
  <c r="BT725" i="3"/>
  <c r="BU725" i="3" s="1"/>
  <c r="BT746" i="3"/>
  <c r="BU746" i="3" s="1"/>
  <c r="BT748" i="3"/>
  <c r="BU748" i="3" s="1"/>
  <c r="BT732" i="3"/>
  <c r="BU732" i="3" s="1"/>
  <c r="B38" i="13"/>
  <c r="B38" i="4"/>
  <c r="C63" i="4"/>
  <c r="Y801" i="3"/>
  <c r="Y800" i="3"/>
  <c r="D40" i="8"/>
  <c r="CZ753" i="3"/>
  <c r="FJ733" i="3"/>
  <c r="T27" i="15"/>
  <c r="Y27" i="15"/>
  <c r="AD27" i="15"/>
  <c r="AD28" i="15" s="1"/>
  <c r="AI27" i="15"/>
  <c r="AI28" i="15" s="1"/>
  <c r="D80" i="11"/>
  <c r="C82" i="11"/>
  <c r="E54" i="4"/>
  <c r="R45" i="4"/>
  <c r="R54" i="4" s="1"/>
  <c r="C55" i="11"/>
  <c r="D46" i="11"/>
  <c r="B55" i="11"/>
  <c r="D100" i="11"/>
  <c r="C105" i="11"/>
  <c r="D105" i="11" s="1"/>
  <c r="S41" i="21"/>
  <c r="U41" i="21"/>
  <c r="E27" i="21"/>
  <c r="E29" i="21" s="1"/>
  <c r="O41" i="21"/>
  <c r="P41" i="21" a="1"/>
  <c r="P41" i="21" s="1"/>
  <c r="R41" i="21" a="1"/>
  <c r="R41" i="21" s="1"/>
  <c r="T41" i="21"/>
  <c r="T18" i="21" s="1"/>
  <c r="G51" i="21" s="1"/>
  <c r="EZ753" i="3"/>
  <c r="DX635" i="3"/>
  <c r="DX670" i="3" s="1"/>
  <c r="E130" i="20" s="1"/>
  <c r="E133" i="20" s="1"/>
  <c r="AC884" i="3"/>
  <c r="C54" i="13"/>
  <c r="C63" i="13" s="1"/>
  <c r="C97" i="13" s="1"/>
  <c r="C105" i="13" s="1"/>
  <c r="I8" i="7"/>
  <c r="G9" i="7"/>
  <c r="CG739" i="3"/>
  <c r="CI739" i="3" s="1"/>
  <c r="N41" i="21"/>
  <c r="EE739" i="3"/>
  <c r="AH739" i="3"/>
  <c r="CK739" i="3"/>
  <c r="CM739" i="3" s="1"/>
  <c r="EJ739" i="3"/>
  <c r="EO739" i="3"/>
  <c r="DZ739" i="3"/>
  <c r="DU739" i="3"/>
  <c r="ET739" i="3"/>
  <c r="S16" i="7"/>
  <c r="C97" i="11"/>
  <c r="B104" i="4"/>
  <c r="B104" i="13"/>
  <c r="R99" i="4"/>
  <c r="R104" i="4" s="1"/>
  <c r="E104" i="4"/>
  <c r="FE753" i="3"/>
  <c r="EC644" i="3"/>
  <c r="EC670" i="3" s="1"/>
  <c r="J130" i="20" s="1"/>
  <c r="J133" i="20" s="1"/>
  <c r="G17" i="7"/>
  <c r="E22" i="7"/>
  <c r="E35" i="7" s="1"/>
  <c r="AC883" i="3"/>
  <c r="D57" i="11"/>
  <c r="B63" i="11"/>
  <c r="D63" i="11" s="1"/>
  <c r="BF753" i="3"/>
  <c r="F38" i="4"/>
  <c r="E30" i="4"/>
  <c r="E99" i="13"/>
  <c r="F99" i="13" s="1"/>
  <c r="F104" i="13" s="1"/>
  <c r="S104" i="4"/>
  <c r="AP587" i="20"/>
  <c r="Y607" i="20"/>
  <c r="D38" i="11"/>
  <c r="BT750" i="3" l="1"/>
  <c r="BU750" i="3" s="1"/>
  <c r="BT738" i="3"/>
  <c r="BU738" i="3" s="1"/>
  <c r="BT728" i="3"/>
  <c r="BU728" i="3" s="1"/>
  <c r="AC885" i="3"/>
  <c r="BT722" i="3"/>
  <c r="BU722" i="3" s="1"/>
  <c r="BT718" i="3"/>
  <c r="BT723" i="3"/>
  <c r="BU723" i="3" s="1"/>
  <c r="BT741" i="3"/>
  <c r="BU741" i="3" s="1"/>
  <c r="BT747" i="3"/>
  <c r="BU747" i="3" s="1"/>
  <c r="BT744" i="3"/>
  <c r="BU744" i="3" s="1"/>
  <c r="BT735" i="3"/>
  <c r="BU735" i="3" s="1"/>
  <c r="J22" i="23"/>
  <c r="CI753" i="3"/>
  <c r="BT727" i="3"/>
  <c r="BU727" i="3" s="1"/>
  <c r="BT743" i="3"/>
  <c r="BU743" i="3" s="1"/>
  <c r="BT724" i="3"/>
  <c r="BU724" i="3" s="1"/>
  <c r="BT749" i="3"/>
  <c r="BU749" i="3" s="1"/>
  <c r="BT720" i="3"/>
  <c r="BU720" i="3" s="1"/>
  <c r="BT726" i="3"/>
  <c r="BU726" i="3" s="1"/>
  <c r="BT751" i="3"/>
  <c r="BU751" i="3" s="1"/>
  <c r="B63" i="4"/>
  <c r="BT742" i="3"/>
  <c r="BU742" i="3" s="1"/>
  <c r="BT736" i="3"/>
  <c r="BU736" i="3" s="1"/>
  <c r="BT730" i="3"/>
  <c r="BU730" i="3" s="1"/>
  <c r="BT752" i="3"/>
  <c r="BU752" i="3" s="1"/>
  <c r="D97" i="11"/>
  <c r="BT729" i="3"/>
  <c r="BU729" i="3" s="1"/>
  <c r="CM753" i="3"/>
  <c r="X1052" i="3" s="1"/>
  <c r="AG1049" i="3" s="1"/>
  <c r="BE8" i="3"/>
  <c r="BE9" i="3" s="1"/>
  <c r="F28" i="21"/>
  <c r="G28" i="21" s="1"/>
  <c r="F27" i="21"/>
  <c r="G27" i="21" s="1"/>
  <c r="G61" i="21"/>
  <c r="G52" i="21"/>
  <c r="G54" i="21" s="1"/>
  <c r="G56" i="21" s="1"/>
  <c r="E12" i="21" s="1"/>
  <c r="J21" i="23"/>
  <c r="DU753" i="3"/>
  <c r="AW116" i="20"/>
  <c r="E136" i="20" s="1"/>
  <c r="B63" i="13"/>
  <c r="C97" i="4"/>
  <c r="X1048" i="3"/>
  <c r="AB29" i="23"/>
  <c r="DZ753" i="3"/>
  <c r="J20" i="23"/>
  <c r="BG721" i="3"/>
  <c r="BH721" i="3" s="1"/>
  <c r="BG740" i="3"/>
  <c r="BH740" i="3" s="1"/>
  <c r="BG739" i="3"/>
  <c r="BH739" i="3" s="1"/>
  <c r="BG745" i="3"/>
  <c r="BH745" i="3" s="1"/>
  <c r="BG750" i="3"/>
  <c r="BH750" i="3" s="1"/>
  <c r="BG719" i="3"/>
  <c r="BH719" i="3" s="1"/>
  <c r="BG733" i="3"/>
  <c r="BH733" i="3" s="1"/>
  <c r="BG737" i="3"/>
  <c r="BH737" i="3" s="1"/>
  <c r="BG734" i="3"/>
  <c r="BH734" i="3" s="1"/>
  <c r="BG725" i="3"/>
  <c r="BH725" i="3" s="1"/>
  <c r="BG731" i="3"/>
  <c r="BH731" i="3" s="1"/>
  <c r="BG728" i="3"/>
  <c r="BH728" i="3" s="1"/>
  <c r="BG741" i="3"/>
  <c r="BH741" i="3" s="1"/>
  <c r="BG746" i="3"/>
  <c r="BH746" i="3" s="1"/>
  <c r="BG751" i="3"/>
  <c r="BH751" i="3" s="1"/>
  <c r="BG722" i="3"/>
  <c r="BH722" i="3" s="1"/>
  <c r="BG735" i="3"/>
  <c r="BH735" i="3" s="1"/>
  <c r="BG747" i="3"/>
  <c r="BH747" i="3" s="1"/>
  <c r="BG720" i="3"/>
  <c r="BH720" i="3" s="1"/>
  <c r="BG724" i="3"/>
  <c r="BH724" i="3" s="1"/>
  <c r="BG729" i="3"/>
  <c r="BH729" i="3" s="1"/>
  <c r="BG743" i="3"/>
  <c r="BH743" i="3" s="1"/>
  <c r="BG752" i="3"/>
  <c r="BH752" i="3" s="1"/>
  <c r="BG726" i="3"/>
  <c r="BH726" i="3" s="1"/>
  <c r="BG730" i="3"/>
  <c r="BH730" i="3" s="1"/>
  <c r="BG736" i="3"/>
  <c r="BH736" i="3" s="1"/>
  <c r="BG744" i="3"/>
  <c r="BH744" i="3" s="1"/>
  <c r="BG732" i="3"/>
  <c r="BH732" i="3" s="1"/>
  <c r="BG727" i="3"/>
  <c r="BH727" i="3" s="1"/>
  <c r="BG749" i="3"/>
  <c r="BH749" i="3" s="1"/>
  <c r="BG742" i="3"/>
  <c r="BH742" i="3" s="1"/>
  <c r="BG738" i="3"/>
  <c r="BH738" i="3" s="1"/>
  <c r="BG748" i="3"/>
  <c r="BH748" i="3" s="1"/>
  <c r="BG723" i="3"/>
  <c r="BH723" i="3" s="1"/>
  <c r="BG718" i="3"/>
  <c r="E4" i="7"/>
  <c r="Z818" i="3"/>
  <c r="J24" i="23"/>
  <c r="I17" i="7"/>
  <c r="G22" i="7"/>
  <c r="G35" i="7" s="1"/>
  <c r="V29" i="23"/>
  <c r="G60" i="21"/>
  <c r="G42" i="21" a="1"/>
  <c r="G42" i="21" s="1"/>
  <c r="G43" i="21" s="1"/>
  <c r="AW120" i="20"/>
  <c r="Y136" i="20" s="1"/>
  <c r="R30" i="4"/>
  <c r="R38" i="4" s="1"/>
  <c r="E38" i="4"/>
  <c r="D55" i="11"/>
  <c r="D39" i="11"/>
  <c r="C64" i="11"/>
  <c r="J19" i="23"/>
  <c r="P29" i="23"/>
  <c r="AH29" i="23"/>
  <c r="EH647" i="3"/>
  <c r="EH657" i="3"/>
  <c r="EH667" i="3"/>
  <c r="CZ802" i="3"/>
  <c r="AB988" i="3" s="1"/>
  <c r="EH639" i="3"/>
  <c r="EH648" i="3"/>
  <c r="EH658" i="3"/>
  <c r="EH668" i="3"/>
  <c r="EH640" i="3"/>
  <c r="EH649" i="3"/>
  <c r="EH659" i="3"/>
  <c r="EH669" i="3"/>
  <c r="EH660" i="3"/>
  <c r="EH635" i="3"/>
  <c r="EH646" i="3"/>
  <c r="EH664" i="3"/>
  <c r="EH655" i="3"/>
  <c r="EH654" i="3"/>
  <c r="EH642" i="3"/>
  <c r="EH636" i="3"/>
  <c r="EH665" i="3"/>
  <c r="DO754" i="3"/>
  <c r="EH652" i="3"/>
  <c r="EH666" i="3"/>
  <c r="DD755" i="3"/>
  <c r="EH638" i="3"/>
  <c r="EH637" i="3"/>
  <c r="EH641" i="3"/>
  <c r="EH653" i="3"/>
  <c r="EH662" i="3"/>
  <c r="EH644" i="3"/>
  <c r="EH656" i="3"/>
  <c r="EH661" i="3"/>
  <c r="EH663" i="3"/>
  <c r="EH643" i="3"/>
  <c r="EH645" i="3"/>
  <c r="EH651" i="3"/>
  <c r="F26" i="21"/>
  <c r="BU718" i="3"/>
  <c r="D82" i="11"/>
  <c r="ET753" i="3"/>
  <c r="EH650" i="3"/>
  <c r="FJ753" i="3"/>
  <c r="J23" i="23"/>
  <c r="AW118" i="20"/>
  <c r="E38" i="13"/>
  <c r="S63" i="4"/>
  <c r="EJ753" i="3"/>
  <c r="AN29" i="23"/>
  <c r="U16" i="7"/>
  <c r="EO753" i="3"/>
  <c r="EM656" i="3"/>
  <c r="FO753" i="3"/>
  <c r="BA1058" i="3"/>
  <c r="E104" i="13"/>
  <c r="AW117" i="20"/>
  <c r="J136" i="20" s="1"/>
  <c r="F40" i="4"/>
  <c r="EM638" i="3"/>
  <c r="EM646" i="3"/>
  <c r="EM666" i="3"/>
  <c r="DI755" i="3"/>
  <c r="EM647" i="3"/>
  <c r="EM657" i="3"/>
  <c r="EM667" i="3"/>
  <c r="DE802" i="3"/>
  <c r="AB989" i="3" s="1"/>
  <c r="AJ989" i="3" s="1"/>
  <c r="EM639" i="3"/>
  <c r="EM648" i="3"/>
  <c r="EM658" i="3"/>
  <c r="EM668" i="3"/>
  <c r="AX691" i="20"/>
  <c r="AX694" i="20" s="1"/>
  <c r="EM640" i="3"/>
  <c r="EM649" i="3"/>
  <c r="EM659" i="3"/>
  <c r="EM669" i="3"/>
  <c r="EM635" i="3"/>
  <c r="EM650" i="3"/>
  <c r="EM664" i="3"/>
  <c r="EM641" i="3"/>
  <c r="EM636" i="3"/>
  <c r="EM651" i="3"/>
  <c r="EM665" i="3"/>
  <c r="EM652" i="3"/>
  <c r="EM654" i="3"/>
  <c r="EM637" i="3"/>
  <c r="EM653" i="3"/>
  <c r="EM655" i="3"/>
  <c r="EM662" i="3"/>
  <c r="EM643" i="3"/>
  <c r="EM645" i="3"/>
  <c r="EM663" i="3"/>
  <c r="EM660" i="3"/>
  <c r="EM661" i="3"/>
  <c r="EM642" i="3"/>
  <c r="EM644" i="3"/>
  <c r="B64" i="11"/>
  <c r="B98" i="11" s="1"/>
  <c r="B106" i="11" s="1"/>
  <c r="EE753" i="3"/>
  <c r="K8" i="7"/>
  <c r="I9" i="7"/>
  <c r="G94" i="21"/>
  <c r="AJ621" i="20"/>
  <c r="AW121" i="20"/>
  <c r="AD136" i="20" s="1"/>
  <c r="F97" i="13"/>
  <c r="F105" i="13" s="1"/>
  <c r="F107" i="13" s="1"/>
  <c r="I1052" i="3"/>
  <c r="I1048" i="3"/>
  <c r="AY1006" i="3" l="1"/>
  <c r="BU753" i="3"/>
  <c r="AH753" i="3" s="1"/>
  <c r="BE43" i="3" s="1"/>
  <c r="BA1039" i="3"/>
  <c r="BA1048" i="3" s="1" a="1"/>
  <c r="BA1048" i="3" s="1"/>
  <c r="BT753" i="3"/>
  <c r="G63" i="21"/>
  <c r="G65" i="21" s="1"/>
  <c r="E13" i="21" s="1"/>
  <c r="E11" i="21" s="1"/>
  <c r="BE10" i="3"/>
  <c r="G26" i="21"/>
  <c r="F29" i="21"/>
  <c r="G29" i="21"/>
  <c r="AW122" i="20"/>
  <c r="AX695" i="20"/>
  <c r="AO695" i="20" s="1"/>
  <c r="AY695" i="20"/>
  <c r="BH718" i="3"/>
  <c r="BH753" i="3" s="1"/>
  <c r="AC753" i="3" s="1"/>
  <c r="BG753" i="3"/>
  <c r="J29" i="23"/>
  <c r="AT20" i="23" s="1"/>
  <c r="C98" i="11"/>
  <c r="D64" i="11"/>
  <c r="EH670" i="3"/>
  <c r="O130" i="20" s="1"/>
  <c r="O133" i="20" s="1"/>
  <c r="O136" i="20" s="1"/>
  <c r="E138" i="20" s="1"/>
  <c r="E139" i="20" s="1"/>
  <c r="AK143" i="20" s="1"/>
  <c r="T807" i="20" s="1"/>
  <c r="AF807" i="20" s="1"/>
  <c r="BE74" i="3" s="1"/>
  <c r="AJ988" i="3"/>
  <c r="AJ992" i="3" s="1"/>
  <c r="AB991" i="3"/>
  <c r="E40" i="4"/>
  <c r="F42" i="4"/>
  <c r="F63" i="4" s="1"/>
  <c r="F97" i="4" s="1"/>
  <c r="F105" i="4" s="1"/>
  <c r="AY1005" i="3"/>
  <c r="AG1045" i="3"/>
  <c r="W16" i="7"/>
  <c r="DU755" i="3"/>
  <c r="T11" i="15"/>
  <c r="T23" i="15" s="1"/>
  <c r="T26" i="15" s="1"/>
  <c r="T28" i="15" s="1"/>
  <c r="M8" i="7"/>
  <c r="K9" i="7"/>
  <c r="K17" i="7"/>
  <c r="I22" i="7"/>
  <c r="I35" i="7" s="1"/>
  <c r="EM670" i="3"/>
  <c r="T130" i="20" s="1"/>
  <c r="T133" i="20" s="1"/>
  <c r="T136" i="20" s="1"/>
  <c r="E5" i="7"/>
  <c r="E11" i="7"/>
  <c r="E37" i="7" s="1"/>
  <c r="G4" i="7"/>
  <c r="E63" i="13"/>
  <c r="S97" i="4"/>
  <c r="B97" i="13"/>
  <c r="C105" i="4"/>
  <c r="B97" i="4"/>
  <c r="O36" i="21"/>
  <c r="P36" i="21" s="1" a="1"/>
  <c r="P36" i="21" s="1"/>
  <c r="S36" i="21" s="1"/>
  <c r="O23" i="21"/>
  <c r="P23" i="21" s="1" a="1"/>
  <c r="P23" i="21" s="1"/>
  <c r="S23" i="21" s="1"/>
  <c r="O29" i="21"/>
  <c r="P29" i="21" s="1" a="1"/>
  <c r="P29" i="21" s="1"/>
  <c r="S29" i="21" s="1"/>
  <c r="O20" i="21"/>
  <c r="P20" i="21" s="1" a="1"/>
  <c r="P20" i="21" s="1"/>
  <c r="S20" i="21" s="1"/>
  <c r="O22" i="21"/>
  <c r="P22" i="21" s="1" a="1"/>
  <c r="P22" i="21" s="1"/>
  <c r="S22" i="21" s="1"/>
  <c r="G45" i="21" l="1"/>
  <c r="G47" i="21" s="1"/>
  <c r="E10" i="21" s="1"/>
  <c r="BE11" i="3"/>
  <c r="AT24" i="23"/>
  <c r="AJ1007" i="3"/>
  <c r="AJ1029" i="3"/>
  <c r="AP550" i="20"/>
  <c r="AP705" i="20"/>
  <c r="AJ711" i="20" s="1"/>
  <c r="AK794" i="20" s="1"/>
  <c r="T819" i="20" s="1"/>
  <c r="AF819" i="20" s="1"/>
  <c r="BE82" i="3" s="1"/>
  <c r="AP706" i="20"/>
  <c r="AG269" i="20"/>
  <c r="B105" i="13"/>
  <c r="BE101" i="3"/>
  <c r="B105" i="4"/>
  <c r="AC455" i="3"/>
  <c r="AJ1045" i="3"/>
  <c r="AP552" i="20" s="1"/>
  <c r="M17" i="7"/>
  <c r="K22" i="7"/>
  <c r="K35" i="7" s="1"/>
  <c r="C106" i="11"/>
  <c r="D106" i="11" s="1"/>
  <c r="D98" i="11"/>
  <c r="AJ1049" i="3"/>
  <c r="AP553" i="20" s="1"/>
  <c r="AY41" i="23"/>
  <c r="AY42" i="23"/>
  <c r="AY43" i="23"/>
  <c r="AY44" i="23"/>
  <c r="AT25" i="23"/>
  <c r="AY45" i="23"/>
  <c r="AT26" i="23"/>
  <c r="AY46" i="23"/>
  <c r="AT27" i="23"/>
  <c r="AY47" i="23"/>
  <c r="AT28" i="23"/>
  <c r="AY40" i="23"/>
  <c r="AT29" i="23"/>
  <c r="AY36" i="23"/>
  <c r="AY37" i="23"/>
  <c r="AY38" i="23"/>
  <c r="AY39" i="23"/>
  <c r="AT22" i="23"/>
  <c r="O8" i="7"/>
  <c r="M9" i="7"/>
  <c r="AT23" i="23"/>
  <c r="BE42" i="3"/>
  <c r="E93" i="20"/>
  <c r="E94" i="20" s="1"/>
  <c r="E95" i="20" s="1"/>
  <c r="E103" i="20"/>
  <c r="E106" i="20" s="1"/>
  <c r="AP106" i="20" s="1"/>
  <c r="AK109" i="20" s="1"/>
  <c r="T806" i="20" s="1"/>
  <c r="AF806" i="20" s="1"/>
  <c r="AT21" i="23"/>
  <c r="O756" i="3"/>
  <c r="DU802" i="3"/>
  <c r="U373" i="20" s="1"/>
  <c r="P421" i="3"/>
  <c r="Y16" i="7"/>
  <c r="E49" i="7"/>
  <c r="E45" i="7"/>
  <c r="AT19" i="23"/>
  <c r="G111" i="21"/>
  <c r="G79" i="21"/>
  <c r="G80" i="21" s="1"/>
  <c r="E15" i="21" s="1"/>
  <c r="G88" i="21"/>
  <c r="G90" i="21" s="1"/>
  <c r="E16" i="21" s="1"/>
  <c r="G96" i="21"/>
  <c r="G31" i="21"/>
  <c r="G33" i="21" s="1"/>
  <c r="E9" i="21" s="1"/>
  <c r="E97" i="13"/>
  <c r="AZ1046" i="3"/>
  <c r="S105" i="4"/>
  <c r="G5" i="7"/>
  <c r="G11" i="7" s="1"/>
  <c r="G37" i="7" s="1"/>
  <c r="I4" i="7"/>
  <c r="R40" i="4"/>
  <c r="R42" i="4" s="1"/>
  <c r="R63" i="4" s="1"/>
  <c r="R97" i="4" s="1"/>
  <c r="R105" i="4" s="1"/>
  <c r="E42" i="4"/>
  <c r="E63" i="4" s="1"/>
  <c r="E97" i="4" s="1"/>
  <c r="E105" i="4" s="1"/>
  <c r="BE12" i="3" l="1"/>
  <c r="BE13" i="3" s="1"/>
  <c r="G49" i="7"/>
  <c r="G45" i="7"/>
  <c r="E105" i="13"/>
  <c r="S107" i="4"/>
  <c r="G101" i="21"/>
  <c r="G113" i="21"/>
  <c r="G97" i="21"/>
  <c r="E48" i="7"/>
  <c r="E47" i="7"/>
  <c r="E60" i="7"/>
  <c r="AZ1051" i="3"/>
  <c r="BA1055" i="3" s="1"/>
  <c r="BA1059" i="3" s="1"/>
  <c r="BA1056" i="3"/>
  <c r="Q8" i="7"/>
  <c r="O9" i="7"/>
  <c r="O17" i="7"/>
  <c r="M22" i="7"/>
  <c r="M35" i="7" s="1"/>
  <c r="AA16" i="7"/>
  <c r="AJ1053" i="3"/>
  <c r="AP554" i="20"/>
  <c r="N185" i="23"/>
  <c r="AB47" i="15"/>
  <c r="AB49" i="15" s="1"/>
  <c r="AC454" i="3"/>
  <c r="BE22" i="3"/>
  <c r="AB266" i="20"/>
  <c r="AG268" i="20" s="1"/>
  <c r="AG270" i="20" s="1"/>
  <c r="AK273" i="20" s="1"/>
  <c r="T812" i="20" s="1"/>
  <c r="AF812" i="20" s="1"/>
  <c r="BE77" i="3" s="1"/>
  <c r="BE73" i="3"/>
  <c r="I5" i="7"/>
  <c r="I11" i="7"/>
  <c r="I37" i="7" s="1"/>
  <c r="K4" i="7"/>
  <c r="BE14" i="3" l="1"/>
  <c r="BE15" i="3"/>
  <c r="I49" i="7"/>
  <c r="I45" i="7"/>
  <c r="S8" i="7"/>
  <c r="Q9" i="7"/>
  <c r="AB54" i="15"/>
  <c r="AB55" i="15" s="1"/>
  <c r="AC16" i="7"/>
  <c r="Q17" i="7"/>
  <c r="O22" i="7"/>
  <c r="O35" i="7" s="1"/>
  <c r="E66" i="7"/>
  <c r="E62" i="7"/>
  <c r="E67" i="7"/>
  <c r="E107" i="13"/>
  <c r="Y11" i="15" s="1"/>
  <c r="Y23" i="15" s="1"/>
  <c r="Y26" i="15" s="1"/>
  <c r="Y28" i="15" s="1"/>
  <c r="T29" i="15" s="1"/>
  <c r="AF551" i="20"/>
  <c r="AF553" i="20" s="1"/>
  <c r="AK559" i="20" s="1"/>
  <c r="T818" i="20" s="1"/>
  <c r="AF818" i="20" s="1"/>
  <c r="BE81" i="3" s="1"/>
  <c r="AA1056" i="3"/>
  <c r="AA1057" i="3" s="1"/>
  <c r="G1058" i="3" s="1"/>
  <c r="AC456" i="3"/>
  <c r="N186" i="23"/>
  <c r="N196" i="23"/>
  <c r="G48" i="7"/>
  <c r="G47" i="7"/>
  <c r="G60" i="7"/>
  <c r="K5" i="7"/>
  <c r="K11" i="7"/>
  <c r="K37" i="7" s="1"/>
  <c r="M4" i="7"/>
  <c r="G115" i="21"/>
  <c r="E17" i="21" s="1"/>
  <c r="E14" i="21" s="1"/>
  <c r="E18" i="21" s="1"/>
  <c r="H3" i="21" s="1"/>
  <c r="BE44" i="3"/>
  <c r="F457" i="3"/>
  <c r="AP557" i="20"/>
  <c r="AP556" i="20" s="1"/>
  <c r="AP559" i="20" s="1"/>
  <c r="AF552" i="20" s="1"/>
  <c r="T24" i="15"/>
  <c r="K49" i="7" l="1"/>
  <c r="K45" i="7"/>
  <c r="U8" i="7"/>
  <c r="S9" i="7"/>
  <c r="AE16" i="7"/>
  <c r="M5" i="7"/>
  <c r="M11" i="7" s="1"/>
  <c r="M37" i="7" s="1"/>
  <c r="O4" i="7"/>
  <c r="AF821" i="20"/>
  <c r="BE70" i="3" s="1"/>
  <c r="I48" i="7"/>
  <c r="I47" i="7"/>
  <c r="I60" i="7"/>
  <c r="Y38" i="15"/>
  <c r="Y40" i="15" s="1"/>
  <c r="AD38" i="15"/>
  <c r="AD40" i="15" s="1"/>
  <c r="E70" i="7"/>
  <c r="E72" i="7" s="1"/>
  <c r="S17" i="7"/>
  <c r="Q22" i="7"/>
  <c r="Q35" i="7" s="1"/>
  <c r="G66" i="7"/>
  <c r="G62" i="7"/>
  <c r="G67" i="7"/>
  <c r="Y41" i="15" l="1"/>
  <c r="AB56" i="15" s="1"/>
  <c r="AB57" i="15" s="1"/>
  <c r="G70" i="7"/>
  <c r="G72" i="7" s="1"/>
  <c r="M49" i="7"/>
  <c r="M45" i="7"/>
  <c r="I66" i="7"/>
  <c r="I62" i="7"/>
  <c r="I67" i="7"/>
  <c r="U17" i="7"/>
  <c r="S22" i="7"/>
  <c r="S35" i="7" s="1"/>
  <c r="O5" i="7"/>
  <c r="Q4" i="7"/>
  <c r="O11" i="7"/>
  <c r="O37" i="7" s="1"/>
  <c r="AG16" i="7"/>
  <c r="W8" i="7"/>
  <c r="U9" i="7"/>
  <c r="K48" i="7"/>
  <c r="K47" i="7"/>
  <c r="K60" i="7"/>
  <c r="M26" i="3" l="1"/>
  <c r="K66" i="7"/>
  <c r="K62" i="7"/>
  <c r="K67" i="7"/>
  <c r="W17" i="7"/>
  <c r="U22" i="7"/>
  <c r="U35" i="7" s="1"/>
  <c r="P204" i="3"/>
  <c r="BE19" i="3"/>
  <c r="Y8" i="7"/>
  <c r="W9" i="7"/>
  <c r="O49" i="7"/>
  <c r="O45" i="7"/>
  <c r="Q5" i="7"/>
  <c r="Q11" i="7"/>
  <c r="Q37" i="7" s="1"/>
  <c r="S4" i="7"/>
  <c r="AB59" i="15"/>
  <c r="AB77" i="15" s="1"/>
  <c r="AB78" i="15" s="1"/>
  <c r="I70" i="7"/>
  <c r="I72" i="7" s="1"/>
  <c r="M48" i="7"/>
  <c r="M47" i="7"/>
  <c r="M60" i="7"/>
  <c r="Q49" i="7" l="1"/>
  <c r="Q45" i="7"/>
  <c r="AB79" i="15"/>
  <c r="AB81" i="15" s="1"/>
  <c r="J82" i="15" s="1"/>
  <c r="I10" i="21"/>
  <c r="I11" i="21" s="1"/>
  <c r="I18" i="21" s="1"/>
  <c r="H4" i="21" s="1"/>
  <c r="H5" i="21" s="1"/>
  <c r="BE83" i="3" s="1"/>
  <c r="M27" i="3"/>
  <c r="S5" i="7"/>
  <c r="S11" i="7"/>
  <c r="S37" i="7" s="1"/>
  <c r="U4" i="7"/>
  <c r="O48" i="7"/>
  <c r="O47" i="7"/>
  <c r="O60" i="7"/>
  <c r="Y9" i="7"/>
  <c r="AA8" i="7"/>
  <c r="M66" i="7"/>
  <c r="M62" i="7"/>
  <c r="M67" i="7"/>
  <c r="Y17" i="7"/>
  <c r="W22" i="7"/>
  <c r="W35" i="7" s="1"/>
  <c r="K70" i="7"/>
  <c r="K72" i="7" s="1"/>
  <c r="M70" i="7" l="1"/>
  <c r="M72" i="7" s="1"/>
  <c r="AA9" i="7"/>
  <c r="AC8" i="7"/>
  <c r="O67" i="7"/>
  <c r="O66" i="7"/>
  <c r="O62" i="7"/>
  <c r="W4" i="7"/>
  <c r="U5" i="7"/>
  <c r="U11" i="7" s="1"/>
  <c r="U37" i="7" s="1"/>
  <c r="P205" i="3"/>
  <c r="BE20" i="3"/>
  <c r="AA17" i="7"/>
  <c r="Y22" i="7"/>
  <c r="Y35" i="7" s="1"/>
  <c r="S49" i="7"/>
  <c r="S45" i="7"/>
  <c r="Q48" i="7"/>
  <c r="Q47" i="7"/>
  <c r="Q60" i="7"/>
  <c r="O70" i="7" l="1"/>
  <c r="O72" i="7" s="1"/>
  <c r="U49" i="7"/>
  <c r="U45" i="7"/>
  <c r="Q67" i="7"/>
  <c r="Q66" i="7"/>
  <c r="Q62" i="7"/>
  <c r="S48" i="7"/>
  <c r="S47" i="7"/>
  <c r="S60" i="7"/>
  <c r="AC17" i="7"/>
  <c r="AA22" i="7"/>
  <c r="AA35" i="7" s="1"/>
  <c r="Y4" i="7"/>
  <c r="W5" i="7"/>
  <c r="W11" i="7" s="1"/>
  <c r="W37" i="7" s="1"/>
  <c r="AC9" i="7"/>
  <c r="AE8" i="7"/>
  <c r="Q70" i="7" l="1"/>
  <c r="Q72" i="7" s="1"/>
  <c r="W49" i="7"/>
  <c r="W45" i="7"/>
  <c r="AE9" i="7"/>
  <c r="AG8" i="7"/>
  <c r="AG9" i="7" s="1"/>
  <c r="Y5" i="7"/>
  <c r="Y11" i="7" s="1"/>
  <c r="Y37" i="7" s="1"/>
  <c r="AA4" i="7"/>
  <c r="AE17" i="7"/>
  <c r="AC22" i="7"/>
  <c r="AC35" i="7" s="1"/>
  <c r="S67" i="7"/>
  <c r="S66" i="7"/>
  <c r="S62" i="7"/>
  <c r="U47" i="7"/>
  <c r="U60" i="7"/>
  <c r="U48" i="7"/>
  <c r="Y45" i="7" l="1"/>
  <c r="Y49" i="7"/>
  <c r="U67" i="7"/>
  <c r="U62" i="7"/>
  <c r="U66" i="7"/>
  <c r="U70" i="7" s="1"/>
  <c r="S70" i="7"/>
  <c r="S72" i="7" s="1"/>
  <c r="AG17" i="7"/>
  <c r="AG22" i="7" s="1"/>
  <c r="AG35" i="7" s="1"/>
  <c r="AE22" i="7"/>
  <c r="AE35" i="7" s="1"/>
  <c r="AA5" i="7"/>
  <c r="AA11" i="7" s="1"/>
  <c r="AA37" i="7" s="1"/>
  <c r="AC4" i="7"/>
  <c r="W60" i="7"/>
  <c r="W47" i="7"/>
  <c r="W48" i="7"/>
  <c r="U72" i="7" l="1"/>
  <c r="AA45" i="7"/>
  <c r="AA49" i="7"/>
  <c r="W67" i="7"/>
  <c r="W62" i="7"/>
  <c r="W66" i="7"/>
  <c r="W70" i="7" s="1"/>
  <c r="AC5" i="7"/>
  <c r="AC11" i="7" s="1"/>
  <c r="AC37" i="7" s="1"/>
  <c r="AE4" i="7"/>
  <c r="Y60" i="7"/>
  <c r="Y47" i="7"/>
  <c r="Y48" i="7"/>
  <c r="W72" i="7" l="1"/>
  <c r="Y67" i="7"/>
  <c r="Y62" i="7"/>
  <c r="Y66" i="7"/>
  <c r="Y70" i="7" s="1"/>
  <c r="AE5" i="7"/>
  <c r="AE11" i="7" s="1"/>
  <c r="AE37" i="7" s="1"/>
  <c r="AG4" i="7"/>
  <c r="AC45" i="7"/>
  <c r="AC49" i="7"/>
  <c r="AA60" i="7"/>
  <c r="AA48" i="7"/>
  <c r="AA47" i="7"/>
  <c r="Y72" i="7" l="1"/>
  <c r="AE45" i="7"/>
  <c r="AE49" i="7"/>
  <c r="AC60" i="7"/>
  <c r="AC48" i="7"/>
  <c r="AC47" i="7"/>
  <c r="AA67" i="7"/>
  <c r="AA62" i="7"/>
  <c r="AA66" i="7"/>
  <c r="AA70" i="7" s="1"/>
  <c r="AG5" i="7"/>
  <c r="AG11" i="7" s="1"/>
  <c r="AG37" i="7" s="1"/>
  <c r="AA72" i="7" l="1"/>
  <c r="AG45" i="7"/>
  <c r="AG49" i="7"/>
  <c r="AC67" i="7"/>
  <c r="AC62" i="7"/>
  <c r="AC66" i="7"/>
  <c r="AC70" i="7" s="1"/>
  <c r="AE60" i="7"/>
  <c r="AE48" i="7"/>
  <c r="AE47" i="7"/>
  <c r="AC72" i="7" l="1"/>
  <c r="AE67" i="7"/>
  <c r="AE62" i="7"/>
  <c r="AE66" i="7"/>
  <c r="AE70" i="7" s="1"/>
  <c r="AG60" i="7"/>
  <c r="AG48" i="7"/>
  <c r="AG47" i="7"/>
  <c r="AE72" i="7" l="1"/>
  <c r="AG67" i="7"/>
  <c r="AG62" i="7"/>
  <c r="AG66" i="7"/>
  <c r="AG70"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<sst xmlns="http://schemas.openxmlformats.org/spreadsheetml/2006/main" count="4693" uniqueCount="2613">
  <si>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</si>
  <si>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</si>
  <si>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</si>
  <si>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</si>
  <si>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</si>
  <si>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</si>
  <si>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</si>
  <si>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</si>
  <si>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</si>
  <si>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</si>
  <si>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</si>
  <si>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</si>
  <si>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</si>
  <si>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</si>
  <si>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</si>
  <si>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</si>
  <si>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</si>
  <si>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</si>
  <si>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</si>
  <si>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</si>
  <si>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</si>
  <si>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</si>
  <si>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</si>
  <si>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</si>
  <si>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</si>
  <si>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</si>
  <si>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</si>
  <si>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</si>
  <si>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</si>
  <si>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</si>
  <si>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</si>
  <si>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</si>
  <si>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</si>
  <si>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</si>
  <si>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</si>
  <si>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</si>
  <si>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</si>
  <si>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</si>
  <si>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</si>
  <si>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</si>
  <si>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</si>
  <si>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</si>
  <si>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</si>
  <si>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</si>
  <si>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</si>
  <si>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</si>
  <si>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</si>
  <si>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</si>
  <si>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</si>
  <si>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</si>
  <si>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</si>
  <si>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</si>
  <si>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</si>
  <si>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</si>
  <si>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</si>
  <si>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</si>
  <si>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</si>
  <si>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</si>
  <si>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</si>
  <si>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</si>
  <si>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</si>
  <si>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</si>
  <si>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</si>
  <si>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</si>
  <si>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</si>
  <si>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</si>
  <si>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</si>
  <si>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</si>
  <si>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</si>
  <si>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</si>
  <si>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</si>
  <si>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</si>
  <si>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</si>
  <si>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</si>
  <si>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</si>
  <si>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</si>
  <si>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</si>
  <si>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</si>
  <si>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</si>
  <si>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</si>
  <si>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</si>
  <si>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</si>
  <si>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</si>
  <si>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</si>
  <si>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</si>
  <si>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</si>
  <si>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</si>
  <si>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</si>
  <si>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</si>
  <si>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</si>
  <si>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</si>
  <si>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</si>
  <si>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</si>
  <si>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</si>
  <si>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</si>
  <si>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</si>
  <si>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</si>
  <si>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</si>
  <si>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</si>
  <si>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</si>
  <si>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</si>
  <si>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</si>
  <si>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</si>
  <si>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</si>
  <si>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</si>
  <si>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</si>
  <si>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</si>
  <si>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</si>
  <si>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</si>
  <si>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</si>
  <si>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</si>
  <si>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</si>
  <si>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</si>
  <si>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</si>
  <si>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</si>
  <si>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</si>
  <si>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</si>
  <si>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</si>
  <si>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</si>
  <si>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</si>
  <si>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</si>
  <si>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</si>
  <si>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</si>
  <si>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</si>
  <si>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</si>
  <si>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</si>
  <si>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</si>
  <si>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</si>
  <si>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</si>
  <si>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</si>
  <si>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</si>
  <si>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</si>
  <si>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</si>
  <si>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</si>
  <si>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</si>
  <si>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</si>
  <si>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</si>
  <si>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</si>
  <si>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</si>
  <si>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</si>
  <si>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</si>
  <si>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</si>
  <si>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</si>
  <si>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</si>
  <si>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</si>
  <si>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</si>
  <si>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</si>
  <si>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</si>
  <si>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</si>
  <si>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</si>
  <si>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</si>
  <si>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</si>
  <si>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</si>
  <si>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</si>
  <si>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</si>
  <si>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</si>
  <si>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</si>
  <si>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</si>
  <si>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</si>
  <si>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</si>
  <si>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</si>
  <si>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</si>
  <si>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</si>
  <si>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</si>
  <si>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</si>
  <si>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</si>
  <si>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</si>
  <si>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</si>
  <si>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</si>
  <si>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</si>
  <si>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</si>
  <si>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</si>
  <si>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</si>
  <si>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</si>
  <si>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</si>
  <si>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</si>
  <si>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</si>
  <si>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</si>
  <si>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</si>
  <si>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</si>
  <si>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</si>
  <si>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</si>
  <si>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</si>
  <si>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</si>
  <si>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</si>
  <si>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</si>
  <si>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</si>
  <si>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</si>
  <si>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</si>
  <si>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</si>
  <si>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</si>
  <si>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</si>
  <si>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</si>
  <si>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</si>
  <si>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</si>
  <si>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</si>
  <si>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</si>
  <si>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</si>
  <si>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</si>
  <si>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</si>
  <si>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</si>
  <si>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</si>
  <si>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</si>
  <si>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</si>
  <si>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</si>
  <si>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</si>
  <si>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</si>
  <si>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</si>
  <si>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</si>
  <si>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</si>
  <si>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</si>
  <si>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</si>
  <si>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</si>
  <si>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</si>
  <si>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</si>
  <si>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</si>
  <si>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</si>
  <si>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</si>
  <si>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</si>
  <si>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</si>
  <si>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</si>
  <si>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</si>
  <si>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</si>
  <si>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</si>
  <si>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</si>
  <si>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</si>
  <si>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</si>
  <si>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</si>
  <si>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</si>
  <si>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</si>
  <si>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</si>
  <si>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</si>
  <si>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</si>
  <si>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</si>
  <si>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</si>
  <si>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</si>
  <si>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</si>
  <si>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</si>
  <si>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</si>
  <si>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</si>
  <si>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</si>
  <si>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</si>
  <si>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</si>
  <si>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</si>
  <si>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</si>
  <si>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</si>
  <si>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</si>
  <si>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</si>
  <si>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</si>
  <si>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</si>
  <si>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</si>
  <si>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</si>
  <si>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</si>
  <si>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</si>
  <si>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</si>
  <si>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</si>
  <si>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</si>
  <si>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</si>
  <si>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</si>
  <si>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</si>
  <si>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</si>
  <si>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</si>
  <si>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</si>
  <si>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</si>
  <si>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</si>
  <si>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</si>
  <si>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</si>
  <si>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</si>
  <si>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</si>
  <si>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</si>
  <si>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</si>
  <si>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</si>
  <si>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</si>
  <si>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</si>
  <si>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</si>
  <si>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</si>
  <si>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</si>
  <si>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</si>
  <si>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</si>
  <si>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</si>
  <si>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</si>
  <si>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</si>
  <si>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</si>
  <si>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</si>
  <si>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</si>
  <si>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</si>
  <si>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</si>
  <si>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</si>
  <si>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</si>
  <si>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</si>
  <si>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</si>
  <si>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</si>
  <si>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</si>
  <si>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</si>
  <si>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</si>
  <si>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</si>
  <si>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</si>
  <si>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</si>
  <si>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</si>
  <si>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</si>
  <si>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</si>
  <si>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</si>
  <si>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</si>
  <si>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</si>
  <si>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</si>
  <si>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</si>
  <si>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</si>
  <si>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</si>
  <si>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</si>
  <si>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</si>
  <si>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</si>
  <si>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</si>
  <si>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</si>
  <si>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</si>
  <si>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</si>
  <si>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</si>
  <si>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</si>
  <si>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</si>
  <si>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</si>
  <si>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</si>
  <si>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</si>
  <si>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</si>
  <si>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</si>
  <si>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</si>
  <si>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</si>
  <si>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</si>
  <si>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</si>
  <si>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</si>
  <si>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</si>
  <si>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</si>
  <si>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</si>
  <si>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</si>
  <si>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</si>
  <si>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</si>
  <si>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</si>
  <si>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</si>
  <si>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</si>
  <si>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</si>
  <si>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</si>
  <si>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</si>
  <si>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</si>
  <si>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</si>
  <si>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</si>
  <si>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</si>
  <si>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</si>
  <si>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</si>
  <si>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</si>
  <si>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</si>
  <si>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</si>
  <si>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</si>
  <si>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</si>
  <si>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</si>
  <si>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</si>
  <si>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</si>
  <si>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</si>
  <si>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</si>
  <si>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</si>
  <si>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</si>
  <si>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</si>
  <si>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</si>
  <si>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</si>
  <si>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</si>
  <si>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</si>
  <si>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</si>
  <si>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</si>
  <si>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</si>
  <si>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</si>
  <si>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</si>
  <si>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</si>
  <si>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</si>
  <si>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</si>
  <si>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</si>
  <si>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</si>
  <si>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</si>
  <si>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</si>
  <si>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</si>
  <si>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</si>
  <si>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</si>
  <si>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</si>
  <si>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</si>
  <si>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</si>
  <si>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</si>
  <si>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</si>
  <si>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</si>
  <si>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</si>
  <si>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</si>
  <si>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</si>
  <si>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</si>
  <si>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</si>
  <si>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</si>
  <si>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</si>
  <si>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</si>
  <si>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</si>
  <si>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</si>
  <si>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</si>
  <si>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</si>
  <si>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</si>
  <si>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</si>
  <si>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</si>
  <si>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</si>
  <si>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</si>
  <si>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</si>
  <si>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</si>
  <si>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</si>
  <si>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</si>
  <si>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</si>
  <si>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</si>
  <si>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</si>
  <si>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</si>
  <si>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</si>
  <si>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</si>
  <si>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</si>
  <si>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</si>
  <si>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</si>
  <si>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</si>
  <si>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</si>
  <si>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</si>
  <si>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</si>
  <si>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</si>
  <si>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</si>
  <si>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</si>
  <si>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</si>
  <si>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</si>
  <si>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</si>
  <si>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</si>
  <si>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</si>
  <si>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</si>
  <si>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</si>
  <si>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</si>
  <si>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</si>
  <si>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</si>
  <si>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</si>
  <si>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</si>
  <si>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</si>
  <si>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</si>
  <si>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</si>
  <si>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</si>
  <si>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</si>
  <si>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</si>
  <si>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</si>
  <si>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</si>
  <si>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</si>
  <si>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</si>
  <si>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</si>
  <si>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</si>
  <si>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</si>
  <si>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</si>
  <si>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</si>
  <si>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</si>
  <si>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</si>
  <si>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</si>
  <si>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</si>
  <si>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</si>
  <si>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</si>
  <si>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</si>
  <si>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</si>
  <si>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</si>
  <si>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</si>
  <si>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</si>
  <si>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</si>
  <si>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</si>
  <si>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</si>
  <si>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</si>
  <si>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</si>
  <si>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</si>
  <si>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</si>
  <si>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</si>
  <si>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</si>
  <si>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</si>
  <si>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</si>
  <si>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</si>
  <si>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</si>
  <si>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</si>
  <si>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</si>
  <si>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</si>
  <si>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</si>
  <si>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</si>
  <si>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</si>
  <si>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</si>
  <si>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</si>
  <si>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</si>
  <si>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</si>
  <si>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</si>
  <si>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</si>
  <si>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</si>
  <si>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</si>
  <si>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</si>
  <si>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</si>
  <si>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</si>
  <si>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</si>
  <si>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</si>
  <si>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</si>
  <si>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</si>
  <si>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</si>
  <si>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</si>
  <si>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</si>
  <si>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</si>
  <si>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</si>
  <si>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</si>
  <si>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</si>
  <si>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</si>
  <si>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</si>
  <si>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</si>
  <si>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</si>
  <si>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</si>
  <si>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</si>
  <si>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</si>
  <si>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</si>
  <si>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</si>
  <si>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</si>
  <si>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</si>
  <si>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</si>
  <si>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</si>
  <si>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</si>
  <si>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</si>
  <si>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</si>
  <si>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</si>
  <si>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</si>
  <si>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</si>
  <si>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</si>
  <si>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</si>
  <si>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</si>
  <si>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</si>
  <si>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</si>
  <si>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</si>
  <si>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</si>
  <si>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</si>
  <si>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</si>
  <si>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</si>
  <si>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</si>
  <si>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</si>
  <si>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</si>
  <si>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</si>
  <si>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</si>
  <si>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</si>
  <si>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</si>
  <si>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</si>
  <si>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</si>
  <si>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</si>
  <si>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</si>
  <si>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</si>
  <si>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</si>
  <si>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</si>
  <si>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</si>
  <si>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</si>
  <si>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</si>
  <si>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</si>
  <si>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</si>
  <si>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</si>
  <si>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</si>
  <si>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</si>
  <si>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</si>
  <si>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</si>
  <si>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</si>
  <si>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</si>
  <si>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</si>
  <si>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</si>
  <si>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</si>
  <si>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</si>
  <si>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</si>
  <si>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</si>
  <si>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</si>
  <si>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</si>
  <si>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</si>
  <si>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</si>
  <si>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</si>
  <si>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</si>
  <si>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</si>
  <si>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</si>
  <si>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</si>
  <si>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</si>
  <si>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</si>
  <si>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</si>
  <si>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</si>
  <si>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</si>
  <si>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</si>
  <si>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</si>
  <si>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</si>
  <si>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</si>
  <si>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</si>
  <si>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</si>
  <si>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</si>
  <si>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</si>
  <si>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</si>
  <si>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</si>
  <si>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</si>
  <si>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</si>
  <si>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</si>
  <si>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</si>
  <si>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</si>
  <si>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</si>
  <si>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</si>
  <si>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</si>
  <si>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</si>
  <si>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</si>
  <si>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</si>
  <si>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</si>
  <si>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</si>
  <si>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</si>
  <si>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</si>
  <si>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</si>
  <si>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</si>
  <si>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</si>
  <si>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</si>
  <si>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</si>
  <si>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</si>
  <si>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</si>
  <si>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</si>
  <si>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</si>
  <si>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</si>
  <si>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</si>
  <si>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</si>
  <si>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</si>
  <si>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</si>
  <si>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</si>
  <si>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</si>
  <si>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</si>
  <si>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</si>
  <si>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</si>
  <si>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</si>
  <si>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</si>
  <si>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</si>
  <si>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</si>
  <si>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</si>
  <si>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</si>
  <si>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</si>
  <si>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</si>
  <si>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</si>
  <si>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</si>
  <si>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</si>
  <si>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</si>
  <si>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</si>
  <si>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</si>
  <si>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</si>
  <si>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</si>
  <si>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</si>
  <si>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</si>
  <si>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</si>
  <si>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</si>
  <si>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</si>
  <si>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</si>
  <si>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</si>
  <si>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</si>
  <si>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</si>
  <si>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</si>
  <si>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</si>
  <si>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</si>
  <si>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</si>
  <si>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</si>
  <si>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</si>
  <si>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</si>
  <si>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</si>
  <si>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</si>
  <si>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</si>
  <si>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</si>
  <si>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</si>
  <si>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</si>
  <si>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</si>
  <si>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</si>
  <si>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</si>
  <si>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</si>
  <si>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</si>
  <si>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</si>
  <si>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</si>
  <si>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</si>
  <si>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</si>
  <si>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</si>
  <si>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</si>
  <si>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</si>
  <si>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</si>
  <si>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</si>
  <si>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</si>
  <si>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</si>
  <si>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</si>
  <si>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</si>
  <si>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</si>
  <si>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</si>
  <si>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</si>
  <si>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</si>
  <si>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</si>
  <si>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</si>
  <si>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</si>
  <si>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</si>
  <si>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</si>
  <si>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</si>
  <si>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</si>
  <si>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</si>
  <si>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</si>
  <si>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</si>
  <si>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</si>
  <si>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</si>
  <si>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</si>
  <si>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</si>
  <si>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</si>
  <si>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</si>
  <si>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</si>
  <si>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</si>
  <si>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</si>
  <si>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</si>
  <si>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</si>
  <si>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</si>
  <si>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</si>
  <si>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</si>
  <si>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</si>
  <si>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</si>
  <si>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</si>
  <si>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</si>
  <si>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</si>
  <si>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</si>
  <si>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</si>
  <si>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</si>
  <si>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</si>
  <si>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</si>
  <si>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</si>
  <si>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</si>
  <si>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</si>
  <si>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</si>
  <si>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</si>
  <si>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</si>
  <si>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</si>
  <si>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</si>
  <si>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</si>
  <si>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</si>
  <si>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</si>
  <si>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</si>
  <si>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</si>
  <si>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</si>
  <si>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</si>
  <si>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</si>
  <si>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</si>
  <si>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</si>
  <si>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</si>
  <si>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</si>
  <si>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</si>
  <si>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</si>
  <si>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</si>
  <si>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</si>
  <si>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</si>
  <si>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</si>
  <si>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</si>
  <si>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</si>
  <si>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</si>
  <si>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</si>
  <si>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</si>
  <si>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</si>
  <si>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</si>
  <si>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</si>
  <si>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</si>
  <si>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</si>
  <si>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</si>
  <si>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</si>
  <si>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</si>
  <si>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</si>
  <si>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</si>
  <si>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</si>
  <si>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</si>
  <si>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</si>
  <si>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</si>
  <si>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</si>
  <si>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</si>
  <si>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</si>
  <si>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</si>
  <si>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</si>
  <si>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</si>
  <si>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</si>
  <si>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</si>
  <si>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</si>
  <si>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</si>
  <si>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</si>
  <si>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</si>
  <si>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</si>
  <si>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</si>
  <si>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</si>
  <si>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</si>
  <si>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</si>
  <si>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</si>
  <si>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</si>
  <si>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</si>
  <si>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</si>
  <si>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</si>
  <si>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</si>
  <si>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</si>
  <si>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</si>
  <si>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</si>
  <si>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</si>
  <si>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</si>
  <si>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</si>
  <si>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</si>
  <si>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</si>
  <si>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</si>
  <si>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</si>
  <si>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</si>
  <si>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</si>
  <si>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</si>
  <si>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</si>
  <si>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</si>
  <si>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</si>
  <si>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</si>
  <si>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</si>
  <si>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</si>
  <si>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</si>
  <si>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</si>
  <si>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</si>
  <si>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</si>
  <si>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</si>
  <si>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</si>
  <si>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</si>
  <si>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</si>
  <si>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</si>
  <si>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</si>
  <si>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</si>
  <si>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</si>
  <si>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</si>
  <si>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</si>
  <si>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</si>
  <si>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</si>
  <si>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</si>
  <si>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</si>
  <si>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</si>
  <si>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</si>
  <si>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</si>
  <si>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</si>
  <si>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</si>
  <si>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</si>
  <si>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</si>
  <si>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</si>
  <si>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</si>
  <si>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</si>
  <si>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</si>
  <si>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</si>
  <si>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</si>
  <si>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</si>
  <si>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</si>
  <si>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</si>
  <si>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</si>
  <si>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</si>
  <si>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</si>
  <si>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</si>
  <si>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</si>
  <si>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</si>
  <si>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</si>
  <si>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</si>
  <si>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</si>
  <si>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</si>
  <si>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</si>
  <si>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</si>
  <si>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</si>
  <si>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</si>
  <si>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</si>
  <si>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</si>
  <si>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</si>
  <si>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</si>
  <si>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</si>
  <si>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</si>
  <si>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</si>
  <si>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</si>
  <si>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</si>
  <si>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</si>
  <si>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</si>
  <si>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</si>
  <si>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</si>
  <si>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</si>
  <si>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</si>
  <si>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</si>
  <si>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</si>
  <si>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</si>
  <si>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</si>
  <si>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</si>
  <si>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</si>
  <si>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</si>
  <si>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</si>
  <si>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</si>
  <si>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</si>
  <si>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</si>
  <si>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</si>
  <si>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</si>
  <si>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</si>
  <si>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</si>
  <si>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</si>
  <si>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</si>
  <si>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</si>
  <si>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</si>
  <si>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</si>
  <si>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</si>
  <si>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</si>
  <si>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</si>
  <si>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</si>
  <si>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</si>
  <si>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</si>
  <si>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</si>
  <si>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</si>
  <si>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</si>
  <si>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</si>
  <si>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</si>
  <si>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</si>
  <si>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</si>
  <si>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</si>
  <si>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</si>
  <si>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</si>
  <si>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</si>
  <si>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</si>
  <si>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</si>
  <si>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</si>
  <si>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</si>
  <si>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</si>
  <si>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</si>
  <si>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</si>
  <si>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</si>
  <si>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</si>
  <si>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</si>
  <si>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</si>
  <si>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</si>
  <si>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</si>
  <si>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</si>
  <si>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</si>
  <si>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</si>
  <si>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</si>
  <si>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</si>
  <si>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</si>
  <si>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</si>
  <si>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</si>
  <si>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</si>
  <si>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</si>
  <si>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</si>
  <si>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</si>
  <si>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</si>
  <si>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</si>
  <si>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</si>
  <si>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</si>
  <si>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</si>
  <si>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</si>
  <si>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</si>
  <si>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</si>
  <si>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</si>
  <si>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</si>
  <si>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</si>
  <si>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</si>
  <si>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</si>
  <si>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</si>
  <si>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</si>
  <si>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</si>
  <si>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</si>
  <si>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</si>
  <si>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</si>
  <si>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</si>
  <si>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</si>
  <si>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</si>
  <si>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</si>
  <si>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</si>
  <si>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</si>
  <si>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</si>
  <si>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</si>
  <si>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</si>
  <si>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</si>
  <si>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</si>
  <si>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</si>
  <si>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</si>
  <si>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</si>
  <si>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</si>
  <si>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</si>
  <si>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</si>
  <si>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</si>
  <si>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</si>
  <si>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</si>
  <si>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</si>
  <si>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</si>
  <si>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</si>
  <si>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</si>
  <si>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</si>
  <si>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</si>
  <si>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</si>
  <si>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</si>
  <si>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</si>
  <si>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</si>
  <si>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</si>
  <si>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</si>
  <si>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</si>
  <si>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</si>
  <si>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</si>
  <si>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</si>
  <si>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</si>
  <si>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</si>
  <si>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</si>
  <si>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</si>
  <si>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</si>
  <si>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</si>
  <si>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</si>
  <si>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</si>
  <si>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</si>
  <si>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</si>
  <si>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</si>
  <si>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</si>
  <si>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</si>
  <si>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</si>
  <si>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</si>
  <si>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</si>
  <si>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</si>
  <si>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</si>
  <si>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</si>
  <si>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</si>
  <si>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</si>
  <si>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</si>
  <si>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</si>
  <si>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</si>
  <si>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</si>
  <si>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</si>
  <si>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</si>
  <si>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</si>
  <si>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</si>
  <si>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</si>
  <si>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</si>
  <si>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</si>
  <si>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</si>
  <si>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</si>
  <si>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</si>
  <si>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</si>
  <si>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</si>
  <si>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</si>
  <si>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</si>
  <si>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</si>
  <si>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</si>
  <si>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</si>
  <si>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</si>
  <si>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</si>
  <si>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</si>
  <si>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</si>
  <si>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</si>
  <si>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</si>
  <si>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</si>
  <si>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</si>
  <si>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</si>
  <si>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</si>
  <si>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</si>
  <si>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</si>
  <si>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</si>
  <si>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</si>
  <si>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</si>
  <si>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</si>
  <si>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</si>
  <si>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</si>
  <si>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</si>
  <si>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</si>
  <si>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</si>
  <si>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</si>
  <si>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</si>
  <si>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</si>
  <si>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</si>
  <si>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</si>
  <si>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</si>
  <si>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</si>
  <si>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</si>
  <si>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</si>
  <si>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</si>
  <si>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</si>
  <si>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</si>
  <si>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</si>
  <si>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</si>
  <si>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</si>
  <si>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</si>
  <si>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</si>
  <si>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</si>
  <si>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</si>
  <si>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</si>
  <si>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</si>
  <si>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</si>
  <si>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</si>
  <si>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</si>
  <si>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</si>
  <si>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</si>
  <si>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</si>
  <si>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</si>
  <si>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</si>
  <si>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</si>
  <si>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</si>
  <si>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</si>
  <si>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</si>
  <si>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</si>
  <si>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</si>
  <si>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</si>
  <si>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</si>
  <si>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</si>
  <si>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</si>
  <si>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</si>
  <si>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</si>
  <si>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</si>
  <si>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</si>
  <si>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</si>
  <si>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</si>
  <si>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</si>
  <si>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</si>
  <si>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</si>
  <si>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</si>
  <si>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</si>
  <si>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</si>
  <si>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</si>
  <si>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</si>
  <si>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</si>
  <si>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</si>
  <si>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</si>
  <si>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</si>
  <si>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</si>
  <si>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</si>
  <si>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</si>
  <si>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</si>
  <si>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</si>
  <si>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</si>
  <si>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</si>
  <si>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</si>
  <si>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</si>
  <si>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</si>
  <si>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</si>
  <si>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</si>
  <si>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</si>
  <si>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</si>
  <si>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</si>
  <si>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</si>
  <si>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</si>
  <si>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</si>
  <si>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</si>
  <si>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</si>
  <si>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</si>
  <si>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</si>
  <si>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</si>
  <si>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</si>
  <si>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</si>
  <si>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</si>
  <si>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</si>
  <si>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</si>
  <si>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</si>
  <si>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</si>
  <si>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</si>
  <si>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</si>
  <si>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</si>
  <si>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</si>
  <si>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</si>
  <si>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</si>
  <si>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</si>
  <si>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</si>
  <si>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</si>
  <si>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</si>
  <si>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</si>
  <si>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</si>
  <si>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</si>
  <si>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</si>
  <si>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</si>
  <si>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</si>
  <si>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</si>
  <si>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</si>
  <si>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</si>
  <si>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</si>
  <si>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</si>
  <si>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</si>
  <si>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</si>
  <si>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</si>
  <si>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</si>
  <si>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</si>
  <si>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</si>
  <si>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</si>
  <si>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</si>
  <si>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</si>
  <si>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</si>
  <si>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</si>
  <si>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</si>
  <si>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</si>
  <si>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</si>
  <si>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</si>
  <si>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</si>
  <si>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</si>
  <si>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</si>
  <si>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</si>
  <si>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</si>
  <si>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</si>
  <si>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</si>
  <si>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</si>
  <si>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</si>
  <si>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</si>
  <si>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</si>
  <si>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</si>
  <si>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</si>
  <si>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</si>
  <si>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</si>
  <si>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</si>
  <si>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</si>
  <si>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</si>
  <si>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</si>
  <si>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</si>
  <si>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</si>
  <si>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</si>
  <si>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</si>
  <si>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</si>
  <si>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</si>
  <si>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</si>
  <si>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</si>
  <si>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</si>
  <si>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</si>
  <si>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</si>
  <si>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</si>
  <si>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</si>
  <si>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</si>
  <si>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</si>
  <si>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</si>
  <si>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</si>
  <si>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</si>
  <si>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</si>
  <si>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</si>
  <si>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</si>
  <si>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</si>
  <si>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</si>
  <si>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</si>
  <si>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</si>
  <si>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</si>
  <si>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</si>
  <si>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</si>
  <si>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</si>
  <si>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</si>
  <si>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</si>
  <si>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</si>
  <si>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</si>
  <si>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</si>
  <si>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</si>
  <si>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</si>
  <si>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</si>
  <si>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</si>
  <si>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</si>
  <si>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</si>
  <si>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</si>
  <si>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</si>
  <si>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</si>
  <si>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</si>
  <si>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</si>
  <si>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</si>
  <si>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</si>
  <si>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</si>
  <si>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</si>
  <si>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</si>
  <si>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</si>
  <si>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</si>
  <si>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</si>
  <si>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</si>
  <si>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</si>
  <si>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</si>
  <si>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</si>
  <si>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</si>
  <si>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</si>
  <si>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</si>
  <si>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</si>
  <si>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</si>
  <si>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</si>
  <si>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</si>
  <si>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</si>
  <si>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</si>
  <si>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</si>
  <si>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</si>
  <si>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</si>
  <si>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</si>
  <si>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</si>
  <si>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</si>
  <si>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</si>
  <si>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</si>
  <si>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</si>
  <si>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</si>
  <si>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</si>
  <si>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</si>
  <si>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</si>
  <si>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</si>
  <si>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</si>
  <si>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</si>
  <si>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</si>
  <si>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</si>
  <si>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</si>
  <si>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</si>
  <si>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</si>
  <si>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</si>
  <si>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</si>
  <si>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</si>
  <si>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</si>
  <si>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</si>
  <si>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</si>
  <si>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</si>
  <si>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</si>
  <si>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</si>
  <si>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</si>
  <si>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</si>
  <si>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</si>
  <si>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</si>
  <si>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</si>
  <si>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</si>
  <si>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</si>
  <si>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</si>
  <si>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</si>
  <si>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</si>
  <si>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</si>
  <si>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</si>
  <si>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</si>
  <si>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</si>
  <si>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</si>
  <si>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</si>
  <si>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</si>
  <si>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</si>
  <si>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</si>
  <si>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</si>
  <si>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</si>
  <si>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</si>
  <si>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</si>
  <si>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</si>
  <si>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</si>
  <si>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</si>
  <si>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</si>
  <si>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</si>
  <si>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</si>
  <si>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</si>
  <si>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</si>
  <si>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</si>
  <si>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</si>
  <si>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</si>
  <si>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</si>
  <si>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</si>
  <si>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</si>
  <si>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</si>
  <si>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</si>
  <si>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</si>
  <si>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</si>
  <si>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</si>
  <si>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</si>
  <si>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</si>
  <si>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</si>
  <si>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</si>
  <si>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</si>
  <si>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</si>
  <si>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</si>
  <si>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</si>
  <si>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</si>
  <si>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</si>
  <si>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</si>
  <si>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</si>
  <si>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</si>
  <si>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</si>
  <si>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</si>
  <si>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</si>
  <si>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</si>
  <si>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</si>
  <si>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</si>
  <si>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</si>
  <si>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</si>
  <si>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</si>
  <si>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</si>
  <si>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</si>
  <si>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</si>
  <si>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</si>
  <si>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</si>
  <si>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</si>
  <si>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</si>
  <si>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</si>
  <si>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</si>
  <si>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</si>
  <si>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</si>
  <si>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</si>
  <si>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</si>
  <si>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</si>
  <si>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</si>
  <si>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</si>
  <si>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</si>
  <si>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</si>
  <si>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</si>
  <si>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</si>
  <si>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</si>
  <si>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</si>
  <si>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</si>
  <si>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</si>
  <si>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</si>
  <si>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</si>
  <si>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</si>
  <si>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</si>
  <si>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</si>
  <si>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</si>
  <si>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</si>
  <si>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</si>
  <si>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</si>
  <si>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</si>
  <si>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</si>
  <si>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</si>
  <si>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</si>
  <si>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</si>
  <si>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</si>
  <si>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</si>
  <si>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</si>
  <si>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</si>
  <si>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</si>
  <si>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</si>
  <si>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</si>
  <si>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</si>
  <si>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</si>
  <si>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</si>
  <si>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</si>
  <si>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</si>
  <si>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</si>
  <si>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</si>
  <si>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</si>
  <si>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</si>
  <si>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</si>
  <si>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</si>
  <si>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</si>
  <si>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</si>
  <si>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</si>
  <si>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</si>
  <si>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</si>
  <si>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</si>
  <si>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</si>
  <si>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</si>
  <si>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</si>
  <si>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</si>
  <si>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</si>
  <si>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</si>
  <si>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</si>
  <si>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</si>
  <si>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</si>
  <si>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</si>
  <si>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</si>
  <si>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</si>
  <si>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</si>
  <si>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</si>
  <si>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</si>
  <si>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</si>
  <si>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</si>
  <si>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</si>
  <si>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</si>
  <si>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</si>
  <si>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</si>
  <si>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</si>
  <si>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</si>
  <si>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</si>
  <si>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</si>
  <si>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</si>
  <si>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</si>
  <si>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</si>
  <si>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</si>
  <si>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</si>
  <si>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</si>
  <si>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</si>
  <si>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</si>
  <si>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</si>
  <si>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</si>
  <si>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</si>
  <si>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</si>
  <si>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</si>
  <si>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</si>
  <si>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</si>
  <si>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</si>
  <si>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</si>
  <si>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</si>
  <si>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</si>
  <si>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</si>
  <si>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</si>
  <si>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</si>
  <si>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</si>
  <si>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</si>
  <si>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</si>
  <si>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</si>
  <si>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</si>
  <si>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</si>
  <si>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</si>
  <si>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</si>
  <si>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</si>
  <si>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</si>
  <si>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</si>
  <si>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</si>
  <si>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</si>
  <si>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</si>
  <si>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</si>
  <si>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</si>
  <si>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</si>
  <si>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</si>
  <si>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</si>
  <si>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</si>
  <si>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</si>
  <si>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</si>
  <si>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</si>
  <si>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</si>
  <si>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</si>
  <si>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</si>
  <si>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</si>
  <si>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</si>
  <si>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</si>
  <si>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</si>
  <si>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</si>
  <si>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</si>
  <si>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</si>
  <si>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</si>
  <si>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</si>
  <si>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</si>
  <si>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</si>
  <si>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</si>
  <si>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</si>
  <si>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</si>
  <si>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</si>
  <si>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</si>
  <si>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</si>
  <si>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</si>
  <si>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</si>
  <si>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</si>
  <si>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</si>
  <si>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</si>
  <si>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</si>
  <si>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</si>
  <si>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</si>
  <si>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</si>
  <si>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</si>
  <si>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</si>
  <si>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</si>
  <si>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</si>
  <si>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</si>
  <si>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</si>
  <si>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</si>
  <si>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</si>
  <si>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</si>
  <si>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</si>
  <si>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</si>
  <si>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</si>
  <si>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</si>
  <si>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</si>
  <si>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</si>
  <si>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</si>
  <si>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</si>
  <si>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</si>
  <si>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</si>
  <si>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</si>
  <si>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</si>
  <si>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</si>
  <si>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</si>
  <si>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</si>
  <si>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</si>
  <si>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</si>
  <si>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</si>
  <si>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</si>
  <si>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</si>
  <si>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</si>
  <si>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</si>
  <si>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</si>
  <si>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</si>
  <si>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</si>
  <si>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</si>
  <si>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</si>
  <si>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</si>
  <si>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</si>
  <si>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</si>
  <si>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</si>
  <si>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</si>
  <si>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</si>
  <si>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</si>
  <si>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</si>
  <si>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</si>
  <si>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</si>
  <si>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</si>
  <si>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</si>
  <si>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</si>
  <si>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</si>
  <si>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</si>
  <si>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</si>
  <si>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</si>
  <si>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</si>
  <si>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</si>
  <si>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</si>
  <si>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</si>
  <si>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</si>
  <si>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</si>
  <si>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</si>
  <si>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</si>
  <si>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</si>
  <si>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</si>
  <si>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</si>
  <si>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</si>
  <si>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</si>
  <si>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</si>
  <si>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</si>
  <si>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</si>
  <si>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</si>
  <si>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</si>
  <si>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</si>
  <si>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</si>
  <si>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</si>
  <si>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</si>
  <si>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</si>
  <si>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</si>
  <si>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</si>
  <si>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</si>
  <si>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</si>
  <si>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</si>
  <si>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</si>
  <si>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</si>
  <si>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</si>
  <si>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</si>
  <si>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</si>
  <si>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</si>
  <si>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</si>
  <si>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</si>
  <si>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</si>
  <si>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</si>
  <si>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</si>
  <si>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</si>
  <si>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</si>
  <si>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</si>
  <si>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</si>
  <si>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</si>
  <si>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</si>
  <si>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</si>
  <si>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</si>
  <si>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</si>
  <si>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</si>
  <si>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</si>
  <si>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</si>
  <si>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</si>
  <si>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</si>
  <si>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</si>
  <si>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</si>
  <si>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</si>
  <si>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</si>
  <si>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</si>
  <si>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</si>
  <si>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</si>
  <si>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</si>
  <si>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</si>
  <si>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</si>
  <si>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</si>
  <si>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</si>
  <si>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</si>
  <si>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</si>
  <si>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</si>
  <si>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</si>
  <si>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</si>
  <si>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</si>
  <si>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</si>
  <si>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</si>
  <si>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</si>
  <si>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</si>
  <si>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</si>
  <si>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</si>
  <si>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</si>
  <si>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</si>
  <si>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</si>
  <si>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</si>
  <si>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</si>
  <si>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</si>
  <si>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</si>
  <si>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</si>
  <si>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</si>
  <si>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</si>
  <si>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</si>
  <si>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</si>
  <si>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</si>
  <si>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</si>
  <si>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</si>
  <si>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</si>
  <si>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</si>
  <si>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</si>
  <si>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</si>
  <si>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</si>
  <si>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</si>
  <si>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</si>
  <si>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</si>
  <si>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</si>
  <si>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</si>
  <si>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</si>
  <si>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</si>
  <si>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</si>
  <si>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</si>
  <si>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</si>
  <si>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</si>
  <si>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</si>
  <si>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</si>
  <si>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</si>
  <si>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</si>
  <si>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</si>
  <si>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</si>
  <si>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</si>
  <si>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</si>
  <si>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</si>
  <si>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</si>
  <si>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</si>
  <si>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</si>
  <si>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</si>
  <si>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</si>
  <si>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</si>
  <si>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</si>
  <si>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</si>
  <si>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</si>
  <si>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</si>
  <si>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</si>
  <si>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</si>
  <si>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</si>
  <si>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</si>
  <si>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</si>
  <si>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</si>
  <si>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</si>
  <si>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</si>
  <si>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</si>
  <si>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</si>
  <si>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</si>
  <si>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</si>
  <si>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</si>
  <si>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</si>
  <si>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</si>
  <si>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</si>
  <si>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</si>
  <si>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</si>
  <si>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</si>
  <si>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</si>
  <si>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</si>
  <si>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</si>
  <si>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</si>
  <si>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</si>
  <si>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</si>
  <si>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</si>
  <si>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</si>
  <si>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</si>
  <si>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</si>
  <si>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</si>
  <si>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</si>
  <si>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</si>
  <si>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</si>
  <si>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</si>
  <si>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</si>
  <si>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</si>
  <si>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</si>
  <si>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</si>
  <si>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</si>
  <si>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</si>
  <si>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</si>
  <si>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</si>
  <si>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</si>
  <si>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</si>
  <si>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</si>
  <si>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</si>
  <si>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</si>
  <si>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</si>
  <si>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</si>
  <si>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</si>
  <si>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</si>
  <si>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</si>
  <si>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</si>
  <si>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</si>
  <si>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</si>
  <si>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</si>
  <si>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</si>
  <si>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</si>
  <si>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</si>
  <si>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</si>
  <si>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</si>
  <si>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</si>
  <si>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</si>
  <si>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</si>
  <si>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</si>
  <si>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</si>
  <si>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</si>
  <si>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</si>
  <si>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</si>
  <si>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</si>
  <si>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</si>
  <si>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</si>
  <si>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</si>
  <si>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</si>
  <si>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</si>
  <si>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</si>
  <si>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</si>
  <si>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</si>
  <si>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</si>
  <si>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</si>
  <si>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</si>
  <si>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</si>
  <si>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</si>
  <si>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</si>
  <si>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</si>
  <si>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</si>
  <si>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</si>
  <si>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</si>
  <si>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</si>
  <si>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</si>
  <si>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</si>
  <si>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</si>
  <si>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</si>
  <si>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</si>
  <si>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</si>
  <si>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</si>
  <si>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</si>
  <si>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</si>
  <si>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</si>
  <si>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</si>
  <si>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</si>
  <si>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</si>
  <si>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</si>
  <si>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</si>
  <si>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</si>
  <si>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</si>
  <si>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</si>
  <si>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</si>
  <si>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</si>
  <si>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</si>
  <si>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</si>
  <si>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</si>
  <si>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</si>
  <si>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</si>
  <si>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</si>
  <si>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</si>
  <si>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</si>
  <si>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</si>
  <si>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</si>
  <si>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</si>
  <si>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</si>
  <si>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</si>
  <si>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</si>
  <si>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</si>
  <si>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</si>
  <si>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</si>
  <si>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</si>
  <si>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</si>
  <si>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</si>
  <si>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</si>
  <si>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</si>
  <si>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</si>
  <si>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</si>
  <si>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</si>
  <si>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</si>
  <si>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</si>
  <si>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</si>
  <si>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</si>
  <si>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</si>
  <si>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</si>
  <si>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</si>
  <si>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</si>
  <si>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</si>
  <si>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</si>
  <si>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</si>
  <si>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</si>
  <si>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</si>
  <si>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</si>
  <si>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</si>
  <si>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</si>
  <si>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</si>
  <si>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</si>
  <si>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</si>
  <si>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</si>
  <si>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</si>
  <si>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</si>
  <si>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</si>
  <si>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</si>
  <si>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</si>
  <si>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</si>
  <si>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</si>
  <si>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</si>
  <si>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</si>
  <si>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</si>
  <si>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</si>
  <si>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</si>
  <si>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</si>
  <si>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</si>
  <si>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</si>
  <si>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</si>
  <si>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</si>
  <si>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</si>
  <si>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</si>
  <si>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</si>
  <si>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</si>
  <si>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</si>
  <si>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</si>
  <si>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</si>
  <si>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</si>
  <si>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</si>
  <si>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</si>
  <si>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</si>
  <si>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</si>
  <si>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</si>
  <si>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</si>
  <si>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</si>
  <si>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</si>
  <si>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</si>
  <si>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</si>
  <si>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</si>
  <si>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</si>
  <si>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</si>
  <si>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</si>
  <si>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</si>
  <si>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</si>
  <si>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</si>
  <si>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</si>
  <si>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</si>
  <si>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</si>
  <si>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</si>
  <si>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</si>
  <si>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</si>
  <si>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</si>
  <si>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</si>
  <si>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</si>
  <si>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</si>
  <si>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</si>
  <si>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</si>
  <si>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</si>
  <si>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</si>
  <si>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</si>
  <si>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</si>
  <si>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</si>
  <si>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</si>
  <si>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</si>
  <si>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</si>
  <si>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</si>
  <si>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</si>
  <si>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</si>
  <si>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</si>
  <si>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</si>
  <si>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</si>
  <si>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</si>
  <si>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</si>
  <si>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</si>
  <si>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</si>
  <si>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</si>
  <si>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</si>
  <si>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</si>
  <si>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</si>
  <si>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</si>
  <si>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</si>
  <si>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</si>
  <si>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</si>
  <si>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</si>
  <si>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</si>
  <si>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</si>
  <si>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</si>
  <si>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</si>
  <si>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</si>
  <si>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</si>
  <si>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</si>
  <si>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</si>
  <si>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</si>
  <si>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</si>
  <si>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</si>
  <si>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</si>
  <si>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</si>
  <si>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</si>
  <si>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</si>
  <si>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</si>
  <si>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</si>
  <si>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</si>
  <si>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</si>
  <si>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</si>
  <si>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</si>
  <si>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</si>
  <si>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</si>
  <si>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</si>
  <si>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</si>
  <si>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</si>
  <si>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</si>
  <si>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</si>
  <si>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</si>
  <si>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</si>
  <si>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</si>
  <si>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</si>
  <si>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</si>
  <si>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</si>
  <si>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</si>
  <si>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</si>
  <si>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</si>
  <si>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</si>
  <si>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</si>
  <si>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</si>
  <si>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</si>
  <si>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</si>
  <si>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</si>
  <si>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</si>
  <si>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</si>
  <si>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</si>
  <si>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</si>
  <si>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</si>
  <si>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</si>
  <si>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</si>
  <si>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</si>
  <si>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</si>
  <si>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</si>
  <si>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</si>
  <si>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</si>
  <si>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</si>
  <si>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</si>
  <si>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</si>
  <si>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</si>
  <si>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</si>
  <si>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</si>
  <si>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</si>
  <si>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</si>
  <si>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</si>
  <si>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</si>
  <si>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</si>
  <si>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</si>
  <si>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</si>
  <si>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</si>
  <si>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</si>
  <si>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</si>
  <si>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</si>
  <si>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</si>
  <si>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</si>
  <si>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</si>
  <si>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</si>
  <si>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</si>
  <si>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</si>
  <si>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</si>
  <si>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</si>
  <si>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</si>
  <si>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</si>
  <si>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</si>
  <si>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</si>
  <si>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</si>
  <si>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</si>
  <si>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</si>
  <si>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</si>
  <si>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</si>
  <si>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</si>
  <si>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</si>
  <si>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</si>
  <si>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</si>
  <si>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</si>
  <si>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</si>
  <si>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</si>
  <si>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</si>
  <si>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</si>
  <si>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</si>
  <si>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</si>
  <si>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</si>
  <si>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</si>
  <si>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</si>
  <si>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</si>
  <si>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</si>
  <si>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</si>
  <si>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</si>
  <si>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</si>
  <si>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</si>
  <si>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</si>
  <si>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</si>
  <si>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</si>
  <si>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</si>
  <si>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</si>
  <si>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</si>
  <si>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</si>
  <si>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</si>
  <si>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</si>
  <si>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</si>
  <si>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</si>
  <si>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</si>
  <si>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</si>
  <si>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</si>
  <si>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</si>
  <si>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</si>
  <si>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</si>
  <si>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</si>
  <si>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</si>
  <si>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</si>
  <si>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</si>
  <si>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</si>
  <si>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</si>
  <si>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</si>
  <si>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</si>
  <si>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</si>
  <si>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</si>
  <si>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</si>
  <si>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</si>
  <si>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</si>
  <si>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</si>
  <si>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</si>
  <si>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</si>
  <si>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</si>
  <si>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</si>
  <si>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</si>
  <si>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</si>
  <si>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</si>
  <si>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</si>
  <si>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</si>
  <si>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</si>
  <si>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</si>
  <si>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</si>
  <si>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</si>
  <si>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</si>
  <si>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</si>
  <si>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</si>
  <si>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</si>
  <si>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</si>
  <si>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</si>
  <si>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</si>
  <si>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</si>
  <si>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</si>
  <si>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</si>
  <si>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</si>
  <si>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</si>
  <si>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</si>
  <si>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</si>
  <si>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</si>
  <si>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</si>
  <si>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</si>
  <si>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</si>
  <si>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</si>
  <si>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</si>
  <si>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</si>
  <si>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</si>
  <si>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</si>
  <si>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</si>
  <si>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</si>
  <si>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</si>
  <si>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</si>
  <si>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</si>
  <si>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</si>
  <si>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</si>
  <si>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</si>
  <si>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</si>
  <si>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</si>
  <si>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</si>
  <si>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</si>
  <si>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</si>
  <si>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</si>
  <si>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</si>
  <si>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</si>
  <si>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</si>
  <si>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</si>
  <si>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</si>
  <si>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</si>
  <si>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</si>
  <si>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</si>
  <si>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</si>
  <si>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</si>
  <si>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</si>
  <si>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</si>
  <si>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</si>
  <si>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</si>
  <si>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</si>
  <si>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</si>
  <si>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</si>
  <si>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</si>
  <si>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</si>
  <si>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</si>
  <si>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</si>
  <si>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</si>
  <si>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</si>
  <si>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</si>
  <si>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</si>
  <si>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</si>
  <si>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</si>
  <si>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</si>
  <si>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</si>
  <si>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</si>
  <si>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</si>
  <si>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</si>
  <si>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</si>
  <si>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</si>
  <si>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</si>
  <si>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</si>
  <si>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</si>
  <si>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</si>
  <si>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</si>
  <si>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</si>
  <si>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</si>
  <si>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</si>
  <si>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</si>
  <si>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</si>
  <si>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</si>
  <si>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</si>
  <si>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</si>
  <si>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</si>
  <si>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</si>
  <si>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</si>
  <si>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</si>
  <si>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</si>
  <si>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</si>
  <si>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</si>
  <si>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</si>
  <si>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</si>
  <si>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</si>
  <si>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</si>
  <si>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</si>
  <si>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</si>
  <si>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</si>
  <si>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</si>
  <si>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</si>
  <si>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</si>
  <si>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</si>
  <si>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</si>
  <si>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</si>
  <si>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</si>
  <si>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</si>
  <si>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</si>
  <si>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</si>
  <si>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</si>
  <si>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</si>
  <si>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</si>
  <si>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</si>
  <si>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</si>
  <si>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</si>
  <si>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</si>
  <si>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</si>
  <si>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</si>
  <si>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</si>
  <si>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</si>
  <si>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</si>
  <si>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</si>
  <si>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</si>
  <si>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</si>
  <si>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</si>
  <si>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</si>
  <si>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</si>
  <si>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</si>
  <si>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</si>
  <si>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</si>
  <si>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</si>
  <si>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</si>
  <si>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</si>
  <si>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</si>
  <si>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</si>
  <si>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</si>
  <si>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</si>
  <si>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</si>
  <si>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</si>
  <si>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</si>
  <si>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</si>
  <si>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</si>
  <si>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</si>
  <si>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</si>
  <si>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</si>
  <si>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</si>
  <si>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</si>
  <si>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</si>
  <si>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</si>
  <si>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</si>
  <si>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</si>
  <si>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</si>
  <si>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</si>
  <si>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</si>
  <si>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</si>
  <si>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</si>
  <si>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</si>
  <si>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</si>
  <si>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</si>
  <si>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</si>
  <si>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</si>
  <si>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</si>
  <si>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</si>
  <si>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</si>
  <si>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</si>
  <si>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</si>
  <si>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</si>
  <si>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</si>
  <si>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</si>
  <si>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</si>
  <si>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</si>
  <si>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</si>
  <si>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</si>
  <si>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</si>
  <si>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</si>
  <si>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</si>
  <si>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</si>
  <si>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</si>
  <si>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</si>
  <si>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</si>
  <si>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</si>
  <si>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</si>
  <si>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</si>
  <si>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</si>
  <si>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</si>
  <si>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</si>
  <si>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</si>
  <si>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</si>
  <si>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</si>
  <si>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</si>
  <si>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</si>
  <si>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</si>
  <si>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</si>
  <si>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</si>
  <si>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</si>
  <si>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</si>
  <si>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</si>
  <si>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</si>
  <si>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</si>
  <si>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</si>
  <si>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</si>
  <si>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</si>
  <si>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</si>
  <si>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</si>
  <si>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</si>
  <si>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</si>
  <si>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</si>
  <si>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</si>
  <si>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</si>
  <si>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</si>
  <si>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</si>
  <si>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</si>
  <si>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</si>
  <si>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</si>
  <si>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</si>
  <si>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</si>
  <si>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</si>
  <si>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</si>
  <si>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</si>
  <si>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</si>
  <si>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</si>
  <si>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</si>
  <si>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</si>
  <si>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</si>
  <si>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</si>
  <si>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</si>
  <si>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</si>
  <si>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</si>
  <si>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</si>
  <si>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</si>
  <si>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</si>
  <si>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</si>
  <si>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</si>
  <si>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</si>
  <si>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</si>
  <si>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</si>
  <si>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</si>
  <si>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</si>
  <si>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</si>
  <si>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</si>
  <si>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</si>
  <si>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</si>
  <si>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</si>
  <si>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</si>
  <si>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</si>
  <si>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</si>
  <si>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</si>
  <si>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</si>
  <si>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</si>
  <si>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</si>
  <si>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</si>
  <si>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</si>
  <si>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</si>
  <si>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</si>
  <si>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</si>
  <si>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</si>
  <si>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</si>
  <si>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</si>
  <si>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</si>
  <si>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</si>
  <si>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</si>
  <si>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</si>
  <si>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</si>
  <si>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</si>
  <si>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</si>
  <si>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</si>
  <si>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</si>
  <si>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</si>
  <si>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</si>
  <si>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</si>
  <si>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</si>
  <si>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</si>
  <si>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</si>
  <si>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</si>
  <si>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</si>
  <si>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</si>
  <si>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</si>
  <si>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</si>
  <si>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</si>
  <si>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</si>
  <si>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</si>
  <si>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</si>
  <si>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</si>
  <si>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</si>
  <si>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</si>
  <si>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</si>
  <si>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</si>
  <si>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</si>
  <si>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</si>
  <si>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</si>
  <si>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</si>
  <si>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</si>
  <si>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</si>
  <si>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</si>
  <si>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</si>
  <si>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</si>
  <si>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</si>
  <si>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</si>
  <si>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</si>
  <si>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</si>
  <si>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</si>
  <si>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</si>
  <si>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</si>
  <si>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</si>
  <si>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</si>
  <si>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</si>
  <si>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</si>
  <si>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</si>
  <si>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</si>
  <si>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</si>
  <si>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</si>
  <si>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</si>
  <si>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</si>
  <si>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</si>
  <si>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</si>
  <si>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</si>
  <si>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</si>
  <si>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</si>
  <si>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</si>
  <si>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</si>
  <si>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</si>
  <si>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</si>
  <si>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</si>
  <si>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</si>
  <si>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</si>
  <si>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</si>
  <si>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</si>
  <si>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</si>
  <si>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</si>
  <si>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</si>
  <si>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</si>
  <si>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</si>
  <si>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</si>
  <si>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</si>
  <si>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</si>
  <si>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</si>
  <si>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</si>
  <si>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</si>
  <si>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</si>
  <si>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</si>
  <si>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</si>
  <si>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</si>
  <si>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</si>
  <si>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</si>
  <si>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</si>
  <si>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</si>
  <si>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</si>
  <si>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</si>
  <si>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</si>
  <si>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</si>
  <si>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</si>
  <si>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</si>
  <si>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</si>
  <si>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</si>
  <si>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</si>
  <si>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</si>
  <si>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</si>
  <si>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</si>
  <si>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</si>
  <si>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</si>
  <si>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</si>
  <si>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</si>
  <si>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</si>
  <si>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</si>
  <si>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</si>
  <si>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</si>
  <si>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</si>
  <si>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</si>
  <si>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</si>
  <si>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</si>
  <si>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</si>
  <si>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</si>
  <si>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</si>
  <si>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</si>
  <si>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</si>
  <si>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</si>
  <si>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</si>
  <si>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</si>
  <si>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</si>
  <si>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</si>
  <si>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</si>
  <si>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</si>
  <si>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</si>
  <si>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</si>
  <si>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</si>
  <si>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</si>
  <si>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</si>
  <si>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</si>
  <si>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</si>
  <si>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</si>
  <si>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</si>
  <si>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</si>
  <si>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</si>
  <si>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</si>
  <si>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</si>
  <si>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</si>
  <si>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</si>
  <si>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</si>
  <si>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</si>
  <si>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</si>
  <si>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</si>
  <si>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</si>
  <si>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</si>
  <si>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</si>
  <si>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</si>
  <si>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</si>
  <si>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</si>
  <si>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</si>
  <si>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</si>
  <si>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</si>
  <si>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</si>
  <si>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</si>
  <si>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</si>
  <si>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</si>
  <si>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</si>
  <si>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</si>
  <si>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</si>
  <si>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</si>
  <si>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</si>
  <si>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</si>
  <si>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</si>
  <si>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</si>
  <si>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</si>
  <si>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</si>
  <si>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</si>
  <si>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</si>
  <si>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</si>
  <si>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</si>
  <si>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</si>
  <si>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</si>
  <si>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</si>
  <si>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</si>
  <si>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</si>
  <si>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</si>
  <si>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</si>
  <si>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</si>
  <si>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</si>
  <si>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</si>
  <si>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</si>
  <si>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</si>
  <si>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</si>
  <si>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</si>
  <si>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</si>
  <si>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</si>
  <si>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</si>
  <si>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</si>
  <si>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</si>
  <si>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</si>
  <si>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</si>
  <si>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</si>
  <si>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</si>
  <si>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</si>
  <si>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</si>
  <si>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</si>
  <si>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</si>
  <si>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</si>
  <si>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</si>
  <si>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</si>
  <si>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</si>
  <si>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</si>
  <si>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</si>
  <si>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</si>
  <si>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</si>
  <si>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</si>
  <si>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</si>
  <si>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</si>
  <si>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</si>
  <si>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</si>
  <si>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</si>
  <si>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</si>
  <si>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</si>
  <si>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</si>
  <si>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</si>
  <si>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</si>
  <si>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</si>
  <si>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</si>
  <si>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</si>
  <si>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</si>
  <si>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</si>
  <si>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</si>
  <si>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</si>
  <si>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</si>
  <si>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</si>
  <si>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</si>
  <si>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</si>
  <si>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</si>
  <si>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</si>
  <si>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</si>
  <si>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</si>
  <si>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</si>
  <si>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</si>
  <si>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</si>
  <si>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</si>
  <si>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</si>
  <si>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</si>
  <si>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</si>
  <si>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</si>
  <si>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</si>
  <si>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</si>
  <si>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</si>
  <si>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</si>
  <si>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</si>
  <si>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</si>
  <si>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</si>
  <si>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</si>
  <si>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</si>
  <si>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</si>
  <si>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</si>
  <si>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</si>
  <si>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</si>
  <si>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</si>
  <si>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</si>
  <si>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</si>
  <si>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</si>
  <si>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</si>
  <si>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</si>
  <si>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</si>
  <si>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</si>
  <si>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</si>
  <si>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</si>
  <si>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</si>
  <si>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</si>
  <si>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</si>
  <si>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</si>
  <si>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</si>
  <si>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</si>
  <si>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</si>
  <si>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</si>
  <si>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</si>
  <si>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</si>
  <si>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</si>
  <si>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</si>
  <si>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</si>
  <si>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</si>
  <si>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</si>
  <si>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</si>
  <si>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</si>
  <si>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</si>
  <si>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</si>
  <si>
    <t>kleichner@chworks.org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</si>
</sst>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2" fontId="25" fillId="5" borderId="3" xfId="0" applyNumberFormat="1"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25" fillId="5" borderId="3"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center"/>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3403%20Piedmont%20Avenue_2025-09-04_Final.xlsx" TargetMode="External"/><Relationship Id="rId1" Type="http://schemas.openxmlformats.org/officeDocument/2006/relationships/externalLinkPath" Target="/.shortcut-targets-by-id/1WNGfudZtUsAXSMUn1XooD6zTTnfl-f_8/Projects/Sep%209th%202025/Current%20model/3403%20Piedmont%20Avenue_2025-09-04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County and City information"/>
      <sheetName val="Data Port"/>
      <sheetName val="Market study exp"/>
      <sheetName val="Initial Screen"/>
      <sheetName val="Solver"/>
      <sheetName val="Rent Builder"/>
      <sheetName val="&gt;&gt;"/>
      <sheetName val="Adjustments"/>
      <sheetName val="Summary"/>
      <sheetName val="CMFA application"/>
      <sheetName val="Sources &amp; Uses"/>
      <sheetName val="CDLAC Score and Tiebreaker"/>
      <sheetName val="Assumptions"/>
      <sheetName val="Cash Flow"/>
      <sheetName val="LIHTC 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s>
    <sheetDataSet>
      <sheetData sheetId="0"/>
      <sheetData sheetId="1"/>
      <sheetData sheetId="2"/>
      <sheetData sheetId="3"/>
      <sheetData sheetId="4"/>
      <sheetData sheetId="5"/>
      <sheetData sheetId="6"/>
      <sheetData sheetId="7">
        <row r="2">
          <cell r="G2">
            <v>45909</v>
          </cell>
        </row>
        <row r="4">
          <cell r="G4">
            <v>46160</v>
          </cell>
        </row>
        <row r="5">
          <cell r="G5">
            <v>46617</v>
          </cell>
        </row>
        <row r="6">
          <cell r="G6">
            <v>46861</v>
          </cell>
        </row>
        <row r="11">
          <cell r="G11" t="str">
            <v>(i)</v>
          </cell>
        </row>
        <row r="12">
          <cell r="G12" t="str">
            <v>N/A</v>
          </cell>
        </row>
        <row r="13">
          <cell r="G13" t="str">
            <v>(ii)</v>
          </cell>
        </row>
        <row r="14">
          <cell r="G14" t="str">
            <v>(i)</v>
          </cell>
        </row>
        <row r="15">
          <cell r="G15" t="str">
            <v>(i)</v>
          </cell>
        </row>
        <row r="16">
          <cell r="G16" t="str">
            <v>(i)</v>
          </cell>
        </row>
        <row r="18">
          <cell r="D18" t="str">
            <v>Yes</v>
          </cell>
        </row>
        <row r="20">
          <cell r="G20" t="str">
            <v>3400 Broadway LLC</v>
          </cell>
        </row>
        <row r="21">
          <cell r="G21" t="str">
            <v>3403 Piedmont Avenue, Oakland, CA 94607</v>
          </cell>
        </row>
        <row r="22">
          <cell r="D22" t="str">
            <v>No</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3403 Piedmont Avenue, Oakland, CA 94607</v>
          </cell>
        </row>
        <row r="31">
          <cell r="G31" t="str">
            <v>Oakland</v>
          </cell>
        </row>
        <row r="32">
          <cell r="G32" t="str">
            <v>Alameda</v>
          </cell>
        </row>
        <row r="33">
          <cell r="G33" t="str">
            <v>94607</v>
          </cell>
        </row>
        <row r="34">
          <cell r="G34" t="str">
            <v>403501</v>
          </cell>
        </row>
        <row r="35">
          <cell r="G35" t="str">
            <v>009-0732-005-02 ,009-0732-006-00 , , , ,</v>
          </cell>
        </row>
        <row r="36">
          <cell r="G36" t="str">
            <v>Moderate Resource</v>
          </cell>
        </row>
        <row r="37">
          <cell r="G37" t="str">
            <v>No</v>
          </cell>
        </row>
        <row r="38">
          <cell r="G38" t="str">
            <v>No</v>
          </cell>
        </row>
        <row r="39">
          <cell r="G39">
            <v>12</v>
          </cell>
        </row>
        <row r="40">
          <cell r="G40" t="str">
            <v>Yes</v>
          </cell>
        </row>
        <row r="41">
          <cell r="G41" t="str">
            <v>18</v>
          </cell>
        </row>
        <row r="43">
          <cell r="G43" t="str">
            <v>7</v>
          </cell>
        </row>
        <row r="44">
          <cell r="G44" t="str">
            <v>No</v>
          </cell>
        </row>
        <row r="45">
          <cell r="G45" t="str">
            <v>No</v>
          </cell>
        </row>
        <row r="46">
          <cell r="G46" t="str">
            <v>No</v>
          </cell>
        </row>
        <row r="48">
          <cell r="G48" t="str">
            <v>(select)</v>
          </cell>
        </row>
        <row r="50">
          <cell r="G50" t="str">
            <v>40%/60% Average Income</v>
          </cell>
        </row>
        <row r="51">
          <cell r="G51" t="str">
            <v xml:space="preserve">A project scoring maximum New Construction Density and Local Incentives points under Section 5230(c) </v>
          </cell>
        </row>
        <row r="52">
          <cell r="D52" t="str">
            <v>Non-Targeted</v>
          </cell>
          <cell r="G52" t="str">
            <v>Non-Targeted</v>
          </cell>
        </row>
        <row r="54">
          <cell r="G54" t="str">
            <v>East Bay Region: Alameda and Contra Costa Counties</v>
          </cell>
        </row>
        <row r="55">
          <cell r="G55" t="str">
            <v>Bay Area ((Alameda, Contra Costa, Marin, San Francisco, San Mateo, Santa Clara, and Santa Cruz Counties)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3400 Broadway LLC</v>
          </cell>
        </row>
        <row r="74">
          <cell r="G74" t="str">
            <v>A Limited Liability Company</v>
          </cell>
        </row>
        <row r="76">
          <cell r="G76" t="str">
            <v>3400 Broadway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3400 Broadway LLC</v>
          </cell>
        </row>
        <row r="87">
          <cell r="G87">
            <v>1E-3</v>
          </cell>
        </row>
        <row r="89">
          <cell r="G89" t="str">
            <v>Community Housing Works</v>
          </cell>
        </row>
        <row r="90">
          <cell r="G90" t="str">
            <v>Managing GP</v>
          </cell>
        </row>
        <row r="91">
          <cell r="G91" t="str">
            <v>3111 Camino Del Rio N, Suite 800</v>
          </cell>
        </row>
        <row r="92">
          <cell r="G92" t="str">
            <v>San Diego</v>
          </cell>
        </row>
        <row r="95">
          <cell r="G95" t="str">
            <v>Kevin Leichner</v>
          </cell>
        </row>
        <row r="96">
          <cell r="G96" t="str">
            <v>619.795.0213</v>
          </cell>
        </row>
        <row r="97">
          <cell r="G97" t="str">
            <v>kleichner@chworks.org</v>
          </cell>
        </row>
        <row r="98">
          <cell r="G98" t="str">
            <v>Nonprofit</v>
          </cell>
        </row>
        <row r="99">
          <cell r="G99" t="str">
            <v>Community Housing Works</v>
          </cell>
        </row>
        <row r="100">
          <cell r="G100">
            <v>1E-3</v>
          </cell>
        </row>
        <row r="115">
          <cell r="G115" t="str">
            <v>to be formed</v>
          </cell>
        </row>
        <row r="116">
          <cell r="G116">
            <v>46113</v>
          </cell>
        </row>
        <row r="118">
          <cell r="G118" t="str">
            <v>3400 Broadway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Community HousingWorks</v>
          </cell>
        </row>
        <row r="129">
          <cell r="G129" t="str">
            <v>3111 Camino Del Rio N, Suite 800</v>
          </cell>
        </row>
        <row r="130">
          <cell r="G130" t="str">
            <v>San Diego, CA, 92108</v>
          </cell>
        </row>
        <row r="131">
          <cell r="G131" t="str">
            <v>Kevin Leichner</v>
          </cell>
        </row>
        <row r="132">
          <cell r="G132" t="str">
            <v>619.795.0213</v>
          </cell>
        </row>
        <row r="133">
          <cell r="G133">
            <v>0</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v>0</v>
          </cell>
        </row>
        <row r="269">
          <cell r="G269">
            <v>0</v>
          </cell>
        </row>
        <row r="270">
          <cell r="G270">
            <v>0</v>
          </cell>
        </row>
        <row r="271">
          <cell r="G271">
            <v>0</v>
          </cell>
        </row>
        <row r="273">
          <cell r="G273">
            <v>0</v>
          </cell>
        </row>
        <row r="274">
          <cell r="G274">
            <v>0</v>
          </cell>
        </row>
        <row r="275">
          <cell r="G275">
            <v>0</v>
          </cell>
        </row>
        <row r="277">
          <cell r="G277">
            <v>44124</v>
          </cell>
        </row>
        <row r="278">
          <cell r="G278">
            <v>0</v>
          </cell>
        </row>
        <row r="279">
          <cell r="G279">
            <v>7000000</v>
          </cell>
        </row>
        <row r="280">
          <cell r="G280">
            <v>0</v>
          </cell>
        </row>
        <row r="281">
          <cell r="G281">
            <v>0</v>
          </cell>
        </row>
        <row r="282">
          <cell r="G282">
            <v>1.4E-2</v>
          </cell>
        </row>
        <row r="284">
          <cell r="G284">
            <v>0</v>
          </cell>
        </row>
        <row r="285">
          <cell r="G285">
            <v>0</v>
          </cell>
        </row>
        <row r="286">
          <cell r="G286">
            <v>0</v>
          </cell>
        </row>
        <row r="287">
          <cell r="G287">
            <v>0</v>
          </cell>
        </row>
        <row r="288">
          <cell r="G288">
            <v>0</v>
          </cell>
        </row>
        <row r="289">
          <cell r="G289">
            <v>0</v>
          </cell>
        </row>
        <row r="290">
          <cell r="G290">
            <v>0</v>
          </cell>
        </row>
        <row r="292">
          <cell r="G292">
            <v>0</v>
          </cell>
        </row>
        <row r="293">
          <cell r="G293">
            <v>0</v>
          </cell>
        </row>
        <row r="294">
          <cell r="G294">
            <v>0</v>
          </cell>
        </row>
        <row r="295">
          <cell r="G295">
            <v>0</v>
          </cell>
        </row>
        <row r="296">
          <cell r="G296">
            <v>0</v>
          </cell>
        </row>
        <row r="297">
          <cell r="G297">
            <v>0</v>
          </cell>
        </row>
        <row r="298">
          <cell r="G298">
            <v>0</v>
          </cell>
        </row>
        <row r="302">
          <cell r="G302" t="str">
            <v>Other (Specify below)</v>
          </cell>
        </row>
        <row r="303">
          <cell r="G303" t="str">
            <v>Yes</v>
          </cell>
        </row>
        <row r="305">
          <cell r="G305" t="str">
            <v>N/A</v>
          </cell>
        </row>
        <row r="306">
          <cell r="G306" t="str">
            <v>N/A</v>
          </cell>
        </row>
        <row r="307">
          <cell r="G307" t="str">
            <v>13-story residential mixed-use buildling (12-stories of residential over 1-stories of parking)</v>
          </cell>
        </row>
        <row r="309">
          <cell r="G309">
            <v>0.24850780532598715</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252</v>
          </cell>
        </row>
        <row r="323">
          <cell r="G323">
            <v>0</v>
          </cell>
        </row>
        <row r="324">
          <cell r="G324">
            <v>249</v>
          </cell>
        </row>
        <row r="325">
          <cell r="G325">
            <v>249</v>
          </cell>
        </row>
        <row r="326">
          <cell r="G326">
            <v>107326</v>
          </cell>
        </row>
        <row r="327">
          <cell r="G327">
            <v>107326</v>
          </cell>
        </row>
        <row r="328">
          <cell r="G328">
            <v>1E-4</v>
          </cell>
        </row>
        <row r="329">
          <cell r="G329">
            <v>0</v>
          </cell>
        </row>
        <row r="330">
          <cell r="G330">
            <v>17553</v>
          </cell>
        </row>
        <row r="331">
          <cell r="G331">
            <v>8389.375</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38</v>
          </cell>
        </row>
        <row r="344">
          <cell r="G344" t="str">
            <v>Mixed Use Residential</v>
          </cell>
        </row>
        <row r="345">
          <cell r="G345" t="str">
            <v>D-BV-3; 250 DUA</v>
          </cell>
        </row>
        <row r="346">
          <cell r="G346" t="str">
            <v>D-BV-3; 250 DUA</v>
          </cell>
        </row>
        <row r="348">
          <cell r="G348" t="str">
            <v>No</v>
          </cell>
        </row>
        <row r="349">
          <cell r="G349" t="str">
            <v>128 Max</v>
          </cell>
        </row>
        <row r="350">
          <cell r="G350">
            <v>0</v>
          </cell>
        </row>
        <row r="351">
          <cell r="G351">
            <v>8</v>
          </cell>
        </row>
        <row r="359">
          <cell r="G359" t="str">
            <v>Keybank National Bank (TE Bonds)</v>
          </cell>
        </row>
        <row r="360">
          <cell r="G360" t="str">
            <v>Loan, Tax-Exempt</v>
          </cell>
        </row>
        <row r="363">
          <cell r="G363">
            <v>6.2100000000000002E-2</v>
          </cell>
        </row>
        <row r="364">
          <cell r="G364" t="str">
            <v>Fixed</v>
          </cell>
        </row>
        <row r="367">
          <cell r="G367">
            <v>17154743</v>
          </cell>
        </row>
        <row r="370">
          <cell r="G370" t="str">
            <v>Keybank National Bank (TE Recyled bonds)</v>
          </cell>
        </row>
        <row r="371">
          <cell r="G371" t="str">
            <v>Loan, Tax-Exempt, Recycled</v>
          </cell>
        </row>
        <row r="374">
          <cell r="G374">
            <v>6.2100000000000002E-2</v>
          </cell>
        </row>
        <row r="375">
          <cell r="G375" t="str">
            <v>Fixed</v>
          </cell>
        </row>
        <row r="378">
          <cell r="G378">
            <v>6131826</v>
          </cell>
        </row>
        <row r="381">
          <cell r="G381" t="str">
            <v>Keybank National Bank (Taxable loan)</v>
          </cell>
        </row>
        <row r="382">
          <cell r="G382" t="str">
            <v>Loan, Taxable</v>
          </cell>
        </row>
        <row r="385">
          <cell r="G385">
            <v>6.6099999999999992E-2</v>
          </cell>
        </row>
        <row r="386">
          <cell r="G386" t="str">
            <v>Fixed</v>
          </cell>
        </row>
        <row r="389">
          <cell r="G389">
            <v>21617910</v>
          </cell>
        </row>
        <row r="392">
          <cell r="G392" t="str">
            <v>Key CDC (Tax Credit Equity)</v>
          </cell>
        </row>
        <row r="393">
          <cell r="G393" t="str">
            <v>Equity, LIHTC Investor</v>
          </cell>
        </row>
        <row r="396">
          <cell r="G396">
            <v>0</v>
          </cell>
        </row>
        <row r="397">
          <cell r="G397" t="str">
            <v>Fixed</v>
          </cell>
        </row>
        <row r="400">
          <cell r="G400">
            <v>12805527</v>
          </cell>
        </row>
        <row r="401">
          <cell r="G401">
            <v>0.82250000000000001</v>
          </cell>
        </row>
        <row r="405">
          <cell r="G405" t="str">
            <v>Deferred Fees until Conversion (Developer fee reserves, etc)</v>
          </cell>
        </row>
        <row r="406">
          <cell r="G406" t="str">
            <v>Cost Deferral</v>
          </cell>
        </row>
        <row r="409">
          <cell r="G409">
            <v>0</v>
          </cell>
        </row>
        <row r="410">
          <cell r="G410" t="str">
            <v>Fixed</v>
          </cell>
        </row>
        <row r="413">
          <cell r="G413">
            <v>3519983</v>
          </cell>
        </row>
        <row r="416">
          <cell r="G416" t="str">
            <v>Deferred Developer Fee</v>
          </cell>
        </row>
        <row r="417">
          <cell r="G417" t="str">
            <v>Developer Fee, Deferral</v>
          </cell>
        </row>
        <row r="420">
          <cell r="G420">
            <v>0</v>
          </cell>
        </row>
        <row r="421">
          <cell r="G421" t="str">
            <v>Fixed</v>
          </cell>
        </row>
        <row r="424">
          <cell r="G424">
            <v>5705573</v>
          </cell>
        </row>
        <row r="427">
          <cell r="G427" t="str">
            <v>GP Loan Note</v>
          </cell>
        </row>
        <row r="428">
          <cell r="G428" t="str">
            <v>Loan, General Partner</v>
          </cell>
        </row>
        <row r="429">
          <cell r="G429">
            <v>180</v>
          </cell>
        </row>
        <row r="431">
          <cell r="G431">
            <v>6.3899999999999998E-2</v>
          </cell>
        </row>
        <row r="432">
          <cell r="G432" t="str">
            <v>Fixed</v>
          </cell>
        </row>
        <row r="435">
          <cell r="G435">
            <v>1500000</v>
          </cell>
        </row>
        <row r="438">
          <cell r="G438" t="str">
            <v>Leasehold</v>
          </cell>
        </row>
        <row r="439">
          <cell r="G439" t="str">
            <v>Other Source</v>
          </cell>
        </row>
        <row r="440">
          <cell r="G440">
            <v>1188</v>
          </cell>
        </row>
        <row r="442">
          <cell r="G442">
            <v>6.3899999999999998E-2</v>
          </cell>
        </row>
        <row r="443">
          <cell r="G443" t="str">
            <v>Fixed</v>
          </cell>
        </row>
        <row r="446">
          <cell r="G446">
            <v>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411 2nd Street</v>
          </cell>
        </row>
        <row r="544">
          <cell r="G544" t="str">
            <v>Oakland</v>
          </cell>
        </row>
        <row r="545">
          <cell r="G545" t="str">
            <v>Jeremy Harris</v>
          </cell>
        </row>
        <row r="546">
          <cell r="G546">
            <v>8584495270</v>
          </cell>
        </row>
        <row r="547">
          <cell r="G547" t="str">
            <v>Deferred Development Fee</v>
          </cell>
        </row>
        <row r="548">
          <cell r="G548" t="str">
            <v>Yes</v>
          </cell>
        </row>
        <row r="551">
          <cell r="G551" t="str">
            <v>411 2nd Street</v>
          </cell>
        </row>
        <row r="552">
          <cell r="G552" t="str">
            <v>Oakland</v>
          </cell>
        </row>
        <row r="553">
          <cell r="G553" t="str">
            <v>Jeremy Harris</v>
          </cell>
        </row>
        <row r="554">
          <cell r="G554">
            <v>8584495270</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2251445</v>
          </cell>
        </row>
        <row r="600">
          <cell r="G600">
            <v>34099546</v>
          </cell>
        </row>
        <row r="603">
          <cell r="G603" t="str">
            <v>NOI residual from lease-up</v>
          </cell>
        </row>
        <row r="605">
          <cell r="G605">
            <v>0</v>
          </cell>
        </row>
        <row r="606">
          <cell r="G606">
            <v>0</v>
          </cell>
        </row>
        <row r="607">
          <cell r="G607">
            <v>0</v>
          </cell>
        </row>
        <row r="608">
          <cell r="G608" t="str">
            <v>Residual</v>
          </cell>
        </row>
        <row r="612">
          <cell r="G612">
            <v>500000</v>
          </cell>
        </row>
        <row r="615">
          <cell r="G615" t="str">
            <v>Deferred Developer Fee</v>
          </cell>
        </row>
        <row r="617">
          <cell r="G617">
            <v>0</v>
          </cell>
        </row>
        <row r="618">
          <cell r="G618">
            <v>0</v>
          </cell>
        </row>
        <row r="619">
          <cell r="G619">
            <v>0</v>
          </cell>
        </row>
        <row r="620">
          <cell r="G620" t="str">
            <v>Residual</v>
          </cell>
        </row>
        <row r="624">
          <cell r="G624">
            <v>5705573</v>
          </cell>
        </row>
        <row r="627">
          <cell r="G627" t="str">
            <v>GP Lone Note</v>
          </cell>
        </row>
        <row r="628">
          <cell r="G628" t="str">
            <v>Loan, General Partner</v>
          </cell>
        </row>
        <row r="629">
          <cell r="G629">
            <v>180</v>
          </cell>
        </row>
        <row r="630">
          <cell r="G630">
            <v>0</v>
          </cell>
        </row>
        <row r="631">
          <cell r="G631">
            <v>6.3899999999999998E-2</v>
          </cell>
        </row>
        <row r="632">
          <cell r="G632" t="str">
            <v>Residual</v>
          </cell>
        </row>
        <row r="636">
          <cell r="G636">
            <v>2520000</v>
          </cell>
        </row>
        <row r="639">
          <cell r="G639" t="str">
            <v>Leasehold</v>
          </cell>
        </row>
        <row r="640">
          <cell r="G640" t="str">
            <v>Other Source</v>
          </cell>
        </row>
        <row r="641">
          <cell r="G641">
            <v>1188</v>
          </cell>
        </row>
        <row r="642">
          <cell r="G642">
            <v>0</v>
          </cell>
        </row>
        <row r="643">
          <cell r="G643">
            <v>6.3899999999999998E-2</v>
          </cell>
        </row>
        <row r="644">
          <cell r="G644" t="str">
            <v>Residual</v>
          </cell>
        </row>
        <row r="648">
          <cell r="G648">
            <v>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411 2nd Street</v>
          </cell>
        </row>
        <row r="764">
          <cell r="G764" t="str">
            <v>Oakland</v>
          </cell>
        </row>
        <row r="765">
          <cell r="G765" t="str">
            <v>Jeremy Harris</v>
          </cell>
        </row>
        <row r="766">
          <cell r="G766">
            <v>8584495270</v>
          </cell>
        </row>
        <row r="767">
          <cell r="G767" t="str">
            <v>GP Loan  Note</v>
          </cell>
        </row>
        <row r="768">
          <cell r="G768" t="str">
            <v>Yes</v>
          </cell>
        </row>
        <row r="771">
          <cell r="D771" t="str">
            <v>411 2nd Street</v>
          </cell>
        </row>
        <row r="772">
          <cell r="D772" t="str">
            <v>Oakland</v>
          </cell>
        </row>
        <row r="773">
          <cell r="D773" t="str">
            <v>Jeremy Harris</v>
          </cell>
        </row>
        <row r="774">
          <cell r="D774">
            <v>8584495270</v>
          </cell>
        </row>
        <row r="775">
          <cell r="D775" t="str">
            <v>Leasehold</v>
          </cell>
        </row>
        <row r="776">
          <cell r="D776" t="str">
            <v>Yes</v>
          </cell>
        </row>
        <row r="834">
          <cell r="G834" t="str">
            <v>No</v>
          </cell>
        </row>
        <row r="835">
          <cell r="G835" t="str">
            <v>No</v>
          </cell>
        </row>
        <row r="836">
          <cell r="G836">
            <v>46160</v>
          </cell>
        </row>
        <row r="837">
          <cell r="G837">
            <v>45980</v>
          </cell>
        </row>
        <row r="838">
          <cell r="G838">
            <v>46160</v>
          </cell>
        </row>
        <row r="839">
          <cell r="G839">
            <v>0.27500000000000002</v>
          </cell>
        </row>
        <row r="847">
          <cell r="G847" t="str">
            <v>SRO/Studio</v>
          </cell>
        </row>
        <row r="848">
          <cell r="G848">
            <v>26</v>
          </cell>
        </row>
        <row r="849">
          <cell r="G849">
            <v>357</v>
          </cell>
        </row>
        <row r="850">
          <cell r="G850">
            <v>738</v>
          </cell>
        </row>
        <row r="851">
          <cell r="D851">
            <v>101</v>
          </cell>
        </row>
        <row r="852">
          <cell r="D852">
            <v>0.3</v>
          </cell>
        </row>
        <row r="856">
          <cell r="G856" t="str">
            <v>SRO/Studio</v>
          </cell>
        </row>
        <row r="857">
          <cell r="G857">
            <v>0</v>
          </cell>
        </row>
        <row r="858">
          <cell r="G858">
            <v>357</v>
          </cell>
        </row>
        <row r="859">
          <cell r="G859">
            <v>1018</v>
          </cell>
        </row>
        <row r="860">
          <cell r="D860">
            <v>101</v>
          </cell>
        </row>
        <row r="861">
          <cell r="D861">
            <v>0.4</v>
          </cell>
        </row>
        <row r="865">
          <cell r="G865" t="str">
            <v>SRO/Studio</v>
          </cell>
        </row>
        <row r="866">
          <cell r="G866">
            <v>26</v>
          </cell>
        </row>
        <row r="867">
          <cell r="G867">
            <v>357</v>
          </cell>
        </row>
        <row r="868">
          <cell r="G868">
            <v>1297</v>
          </cell>
        </row>
        <row r="869">
          <cell r="D869">
            <v>101</v>
          </cell>
        </row>
        <row r="870">
          <cell r="D870">
            <v>0.5</v>
          </cell>
        </row>
        <row r="874">
          <cell r="G874" t="str">
            <v>SRO/Studio</v>
          </cell>
        </row>
        <row r="875">
          <cell r="G875">
            <v>45</v>
          </cell>
        </row>
        <row r="876">
          <cell r="G876">
            <v>357</v>
          </cell>
        </row>
        <row r="877">
          <cell r="G877">
            <v>1357</v>
          </cell>
        </row>
        <row r="878">
          <cell r="D878">
            <v>101</v>
          </cell>
        </row>
        <row r="879">
          <cell r="D879">
            <v>0.6</v>
          </cell>
        </row>
        <row r="883">
          <cell r="G883" t="str">
            <v>SRO/Studio</v>
          </cell>
        </row>
        <row r="884">
          <cell r="G884">
            <v>0</v>
          </cell>
        </row>
        <row r="885">
          <cell r="G885">
            <v>357</v>
          </cell>
        </row>
        <row r="886">
          <cell r="G886">
            <v>1457</v>
          </cell>
        </row>
        <row r="887">
          <cell r="D887">
            <v>101</v>
          </cell>
        </row>
        <row r="888">
          <cell r="D888">
            <v>0.7</v>
          </cell>
        </row>
        <row r="892">
          <cell r="G892" t="str">
            <v>SRO/Studio</v>
          </cell>
        </row>
        <row r="893">
          <cell r="G893">
            <v>0</v>
          </cell>
        </row>
        <row r="894">
          <cell r="G894">
            <v>357</v>
          </cell>
        </row>
        <row r="895">
          <cell r="G895">
            <v>1457</v>
          </cell>
        </row>
        <row r="896">
          <cell r="D896">
            <v>101</v>
          </cell>
        </row>
        <row r="897">
          <cell r="D897">
            <v>0.8</v>
          </cell>
        </row>
        <row r="901">
          <cell r="G901" t="str">
            <v>1 Bedroom</v>
          </cell>
        </row>
        <row r="902">
          <cell r="G902">
            <v>0</v>
          </cell>
        </row>
        <row r="903">
          <cell r="G903">
            <v>402</v>
          </cell>
        </row>
        <row r="904">
          <cell r="G904">
            <v>777</v>
          </cell>
        </row>
        <row r="905">
          <cell r="D905">
            <v>122</v>
          </cell>
        </row>
        <row r="906">
          <cell r="D906">
            <v>0.3</v>
          </cell>
        </row>
        <row r="910">
          <cell r="G910" t="str">
            <v>1 Bedroom</v>
          </cell>
        </row>
        <row r="911">
          <cell r="G911">
            <v>0</v>
          </cell>
        </row>
        <row r="912">
          <cell r="G912">
            <v>402</v>
          </cell>
        </row>
        <row r="913">
          <cell r="G913">
            <v>1077</v>
          </cell>
        </row>
        <row r="914">
          <cell r="D914">
            <v>122</v>
          </cell>
        </row>
        <row r="915">
          <cell r="D915">
            <v>0.4</v>
          </cell>
        </row>
        <row r="919">
          <cell r="G919" t="str">
            <v>1 Bedroom</v>
          </cell>
        </row>
        <row r="920">
          <cell r="G920">
            <v>0</v>
          </cell>
        </row>
        <row r="921">
          <cell r="G921">
            <v>402</v>
          </cell>
        </row>
        <row r="922">
          <cell r="G922">
            <v>1377</v>
          </cell>
        </row>
        <row r="923">
          <cell r="D923">
            <v>122</v>
          </cell>
        </row>
        <row r="924">
          <cell r="D924">
            <v>0.5</v>
          </cell>
        </row>
        <row r="928">
          <cell r="G928" t="str">
            <v>1 Bedroom</v>
          </cell>
        </row>
        <row r="929">
          <cell r="G929">
            <v>131</v>
          </cell>
        </row>
        <row r="930">
          <cell r="G930">
            <v>402</v>
          </cell>
        </row>
        <row r="931">
          <cell r="G931">
            <v>1412</v>
          </cell>
        </row>
        <row r="932">
          <cell r="D932">
            <v>122</v>
          </cell>
        </row>
        <row r="933">
          <cell r="D933">
            <v>0.6</v>
          </cell>
        </row>
        <row r="937">
          <cell r="G937" t="str">
            <v>1 Bedroom</v>
          </cell>
        </row>
        <row r="938">
          <cell r="G938">
            <v>0</v>
          </cell>
        </row>
        <row r="939">
          <cell r="G939">
            <v>402</v>
          </cell>
        </row>
        <row r="940">
          <cell r="G940">
            <v>1644</v>
          </cell>
        </row>
        <row r="941">
          <cell r="D941">
            <v>122</v>
          </cell>
        </row>
        <row r="942">
          <cell r="D942">
            <v>0.7</v>
          </cell>
        </row>
        <row r="946">
          <cell r="G946" t="str">
            <v>1 Bedroom</v>
          </cell>
        </row>
        <row r="947">
          <cell r="G947">
            <v>0</v>
          </cell>
        </row>
        <row r="948">
          <cell r="G948">
            <v>402</v>
          </cell>
        </row>
        <row r="949">
          <cell r="G949">
            <v>1644</v>
          </cell>
        </row>
        <row r="950">
          <cell r="D950">
            <v>122</v>
          </cell>
        </row>
        <row r="951">
          <cell r="D951">
            <v>0.8</v>
          </cell>
        </row>
        <row r="955">
          <cell r="G955" t="str">
            <v>2 Bedrooms</v>
          </cell>
        </row>
        <row r="956">
          <cell r="G956">
            <v>0</v>
          </cell>
        </row>
        <row r="958">
          <cell r="G958">
            <v>909</v>
          </cell>
        </row>
        <row r="959">
          <cell r="D959">
            <v>170</v>
          </cell>
        </row>
        <row r="960">
          <cell r="D960">
            <v>0.3</v>
          </cell>
        </row>
        <row r="964">
          <cell r="G964" t="str">
            <v>2 Bedrooms</v>
          </cell>
        </row>
        <row r="965">
          <cell r="G965">
            <v>0</v>
          </cell>
        </row>
        <row r="966">
          <cell r="G966">
            <v>850</v>
          </cell>
        </row>
        <row r="967">
          <cell r="G967">
            <v>1269</v>
          </cell>
        </row>
        <row r="968">
          <cell r="D968">
            <v>170</v>
          </cell>
        </row>
        <row r="969">
          <cell r="D969">
            <v>0.4</v>
          </cell>
        </row>
        <row r="973">
          <cell r="G973" t="str">
            <v>2 Bedrooms</v>
          </cell>
        </row>
        <row r="974">
          <cell r="G974">
            <v>0</v>
          </cell>
        </row>
        <row r="975">
          <cell r="G975">
            <v>850</v>
          </cell>
        </row>
        <row r="976">
          <cell r="G976">
            <v>1628</v>
          </cell>
        </row>
        <row r="977">
          <cell r="D977">
            <v>170</v>
          </cell>
        </row>
        <row r="978">
          <cell r="D978">
            <v>0.5</v>
          </cell>
        </row>
        <row r="982">
          <cell r="G982" t="str">
            <v>2 Bedrooms</v>
          </cell>
        </row>
        <row r="983">
          <cell r="G983">
            <v>0</v>
          </cell>
        </row>
        <row r="984">
          <cell r="G984">
            <v>850</v>
          </cell>
        </row>
        <row r="985">
          <cell r="G985">
            <v>1988</v>
          </cell>
        </row>
        <row r="986">
          <cell r="D986">
            <v>170</v>
          </cell>
        </row>
        <row r="987">
          <cell r="D987">
            <v>0.6</v>
          </cell>
        </row>
        <row r="991">
          <cell r="G991" t="str">
            <v>2 Bedrooms</v>
          </cell>
        </row>
        <row r="992">
          <cell r="G992">
            <v>21</v>
          </cell>
        </row>
        <row r="993">
          <cell r="G993">
            <v>850</v>
          </cell>
        </row>
        <row r="994">
          <cell r="G994">
            <v>2348</v>
          </cell>
        </row>
        <row r="995">
          <cell r="D995">
            <v>170</v>
          </cell>
        </row>
        <row r="996">
          <cell r="D996">
            <v>0.7</v>
          </cell>
        </row>
        <row r="1000">
          <cell r="G1000" t="str">
            <v>2 Bedrooms</v>
          </cell>
        </row>
        <row r="1001">
          <cell r="G1001">
            <v>0</v>
          </cell>
        </row>
        <row r="1002">
          <cell r="G1002">
            <v>850</v>
          </cell>
        </row>
        <row r="1003">
          <cell r="G1003">
            <v>2707</v>
          </cell>
        </row>
        <row r="1004">
          <cell r="D1004">
            <v>170</v>
          </cell>
        </row>
        <row r="1005">
          <cell r="D1005">
            <v>0.8</v>
          </cell>
        </row>
        <row r="1013">
          <cell r="D1013" t="str">
            <v>2 Bedroom</v>
          </cell>
        </row>
        <row r="1014">
          <cell r="D1014">
            <v>1</v>
          </cell>
        </row>
        <row r="1015">
          <cell r="D1015">
            <v>850</v>
          </cell>
        </row>
        <row r="1016">
          <cell r="D1016">
            <v>1797.9023999999999</v>
          </cell>
        </row>
        <row r="1018">
          <cell r="D1018" t="str">
            <v>2 Bedroom</v>
          </cell>
        </row>
        <row r="1019">
          <cell r="D1019">
            <v>1</v>
          </cell>
        </row>
        <row r="1020">
          <cell r="D1020">
            <v>850</v>
          </cell>
        </row>
        <row r="1021">
          <cell r="D1021">
            <v>1797.9023999999999</v>
          </cell>
        </row>
        <row r="1023">
          <cell r="D1023" t="str">
            <v>2 Bedroom</v>
          </cell>
        </row>
        <row r="1024">
          <cell r="D1024">
            <v>0</v>
          </cell>
        </row>
        <row r="1025">
          <cell r="D1025">
            <v>0</v>
          </cell>
        </row>
        <row r="1026">
          <cell r="D1026">
            <v>0</v>
          </cell>
        </row>
        <row r="1028">
          <cell r="D1028" t="str">
            <v>2 Bedroom</v>
          </cell>
        </row>
        <row r="1029">
          <cell r="D1029">
            <v>1</v>
          </cell>
        </row>
        <row r="1030">
          <cell r="D1030">
            <v>850</v>
          </cell>
        </row>
        <row r="1031">
          <cell r="D1031">
            <v>1797.9023999999999</v>
          </cell>
        </row>
        <row r="1054">
          <cell r="D1054">
            <v>30240</v>
          </cell>
        </row>
        <row r="1055">
          <cell r="D1055">
            <v>0</v>
          </cell>
        </row>
        <row r="1056">
          <cell r="D1056">
            <v>0</v>
          </cell>
        </row>
        <row r="1057">
          <cell r="D1057">
            <v>171170.5263157895</v>
          </cell>
        </row>
        <row r="1058">
          <cell r="D1058" t="str">
            <v>Parking-Motorcycle parking-Storage-Master Service - Internet</v>
          </cell>
        </row>
        <row r="1063">
          <cell r="D1063">
            <v>34</v>
          </cell>
        </row>
        <row r="1064">
          <cell r="D1064">
            <v>32</v>
          </cell>
        </row>
        <row r="1065">
          <cell r="D1065">
            <v>27</v>
          </cell>
        </row>
        <row r="1066">
          <cell r="D1066">
            <v>8</v>
          </cell>
        </row>
        <row r="1072">
          <cell r="D1072">
            <v>40</v>
          </cell>
        </row>
        <row r="1073">
          <cell r="D1073">
            <v>38</v>
          </cell>
        </row>
        <row r="1074">
          <cell r="D1074">
            <v>34</v>
          </cell>
        </row>
        <row r="1075">
          <cell r="D1075">
            <v>10</v>
          </cell>
        </row>
        <row r="1081">
          <cell r="D1081">
            <v>49</v>
          </cell>
        </row>
        <row r="1082">
          <cell r="D1082">
            <v>57</v>
          </cell>
        </row>
        <row r="1083">
          <cell r="D1083">
            <v>46</v>
          </cell>
        </row>
        <row r="1084">
          <cell r="D1084">
            <v>18</v>
          </cell>
        </row>
        <row r="1090">
          <cell r="D1090">
            <v>0</v>
          </cell>
        </row>
        <row r="1091">
          <cell r="D1091">
            <v>0</v>
          </cell>
        </row>
        <row r="1092">
          <cell r="D1092">
            <v>0</v>
          </cell>
        </row>
        <row r="1093">
          <cell r="D1093">
            <v>0</v>
          </cell>
        </row>
        <row r="1099">
          <cell r="D1099">
            <v>0</v>
          </cell>
        </row>
        <row r="1100">
          <cell r="D1100">
            <v>0</v>
          </cell>
        </row>
        <row r="1101">
          <cell r="D1101">
            <v>0</v>
          </cell>
        </row>
        <row r="1102">
          <cell r="D1102">
            <v>0</v>
          </cell>
        </row>
        <row r="1107">
          <cell r="D1107" t="str">
            <v>Oakland Housing Authority</v>
          </cell>
        </row>
        <row r="1109">
          <cell r="G1109">
            <v>3500</v>
          </cell>
        </row>
        <row r="1110">
          <cell r="G1110">
            <v>1500</v>
          </cell>
        </row>
        <row r="1111">
          <cell r="G1111">
            <v>20000</v>
          </cell>
        </row>
        <row r="1112">
          <cell r="G1112">
            <v>75000</v>
          </cell>
        </row>
        <row r="1113">
          <cell r="B1113" t="str">
            <v>Other: Misc. Admin (Phone, Cable, Credit and Bank Checks)</v>
          </cell>
          <cell r="G1113">
            <v>5000</v>
          </cell>
        </row>
        <row r="1115">
          <cell r="G1115">
            <v>168935</v>
          </cell>
        </row>
        <row r="1117">
          <cell r="G1117">
            <v>6048</v>
          </cell>
        </row>
        <row r="1118">
          <cell r="G1118">
            <v>0</v>
          </cell>
        </row>
        <row r="1119">
          <cell r="G1119">
            <v>90720</v>
          </cell>
        </row>
        <row r="1120">
          <cell r="G1120">
            <v>151200</v>
          </cell>
        </row>
        <row r="1121">
          <cell r="G1121">
            <v>136080</v>
          </cell>
        </row>
        <row r="1123">
          <cell r="G1123">
            <v>236985</v>
          </cell>
        </row>
        <row r="1124">
          <cell r="G1124">
            <v>2</v>
          </cell>
        </row>
        <row r="1125">
          <cell r="G1125">
            <v>122850</v>
          </cell>
        </row>
        <row r="1126">
          <cell r="G1126">
            <v>1</v>
          </cell>
        </row>
        <row r="1127">
          <cell r="B1127" t="str">
            <v>Leasing specialist and commisions-Payroll Taxes/Benefit</v>
          </cell>
        </row>
        <row r="1128">
          <cell r="G1128">
            <v>68000</v>
          </cell>
        </row>
        <row r="1129">
          <cell r="G1129">
            <v>226800</v>
          </cell>
        </row>
        <row r="1131">
          <cell r="G1131">
            <v>4000</v>
          </cell>
        </row>
        <row r="1132">
          <cell r="G1132">
            <v>89964</v>
          </cell>
        </row>
        <row r="1133">
          <cell r="G1133">
            <v>7560</v>
          </cell>
        </row>
        <row r="1134">
          <cell r="G1134">
            <v>2500</v>
          </cell>
        </row>
        <row r="1135">
          <cell r="G1135">
            <v>5250</v>
          </cell>
        </row>
        <row r="1136">
          <cell r="G1136">
            <v>6000</v>
          </cell>
        </row>
        <row r="1137">
          <cell r="B1137" t="str">
            <v>Contracts-Cleaning-Supplies, Fire Protection, Uniforms, Janitorial Services</v>
          </cell>
          <cell r="G1137">
            <v>41056</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60480</v>
          </cell>
        </row>
        <row r="1147">
          <cell r="G1147" t="str">
            <v>Other</v>
          </cell>
        </row>
        <row r="1148">
          <cell r="G1148">
            <v>0</v>
          </cell>
        </row>
        <row r="1150">
          <cell r="G1150">
            <v>945208</v>
          </cell>
        </row>
        <row r="1151">
          <cell r="G1151">
            <v>0</v>
          </cell>
        </row>
        <row r="1152">
          <cell r="G1152">
            <v>24900</v>
          </cell>
        </row>
        <row r="1153">
          <cell r="G1153">
            <v>63000</v>
          </cell>
        </row>
        <row r="1154">
          <cell r="G1154">
            <v>11344.44</v>
          </cell>
        </row>
        <row r="1155">
          <cell r="G1155">
            <v>5587.56</v>
          </cell>
        </row>
        <row r="1156">
          <cell r="G1156">
            <v>0</v>
          </cell>
        </row>
        <row r="1157">
          <cell r="B1157" t="str">
            <v>Other (Specify)</v>
          </cell>
          <cell r="G1157">
            <v>0</v>
          </cell>
        </row>
        <row r="1158">
          <cell r="B1158" t="str">
            <v>Other (Specify)</v>
          </cell>
          <cell r="G1158">
            <v>0</v>
          </cell>
        </row>
        <row r="1162">
          <cell r="G1162">
            <v>17154743</v>
          </cell>
        </row>
        <row r="1225">
          <cell r="B1225" t="str">
            <v>LIHTC Credits</v>
          </cell>
          <cell r="G1225">
            <v>25611053</v>
          </cell>
        </row>
        <row r="1226">
          <cell r="B1226" t="str">
            <v>Recycled Bonds</v>
          </cell>
          <cell r="G1226">
            <v>6131826</v>
          </cell>
        </row>
        <row r="1254">
          <cell r="G1254">
            <v>4380000</v>
          </cell>
        </row>
        <row r="1255">
          <cell r="G1255">
            <v>0</v>
          </cell>
        </row>
        <row r="1256">
          <cell r="G1256">
            <v>195000</v>
          </cell>
        </row>
        <row r="1257">
          <cell r="G1257">
            <v>0</v>
          </cell>
        </row>
        <row r="1258">
          <cell r="G1258">
            <v>250000</v>
          </cell>
        </row>
        <row r="1259">
          <cell r="G1259">
            <v>0</v>
          </cell>
        </row>
        <row r="1260">
          <cell r="G1260">
            <v>1755425</v>
          </cell>
        </row>
        <row r="1261">
          <cell r="G1261">
            <v>0</v>
          </cell>
        </row>
        <row r="1262">
          <cell r="G1262">
            <v>0</v>
          </cell>
        </row>
        <row r="1264">
          <cell r="G1264">
            <v>93321</v>
          </cell>
        </row>
        <row r="1265">
          <cell r="G1265">
            <v>30373825</v>
          </cell>
        </row>
        <row r="1266">
          <cell r="G1266">
            <v>1026982</v>
          </cell>
        </row>
        <row r="1267">
          <cell r="G1267">
            <v>1369310</v>
          </cell>
        </row>
        <row r="1268">
          <cell r="G1268">
            <v>1369310</v>
          </cell>
        </row>
        <row r="1269">
          <cell r="G1269">
            <v>0</v>
          </cell>
        </row>
        <row r="1270">
          <cell r="G1270">
            <v>0</v>
          </cell>
        </row>
        <row r="1271">
          <cell r="G1271">
            <v>468000</v>
          </cell>
        </row>
        <row r="1272">
          <cell r="B1272" t="str">
            <v>Contractor Contigency</v>
          </cell>
          <cell r="G1272">
            <v>1196396</v>
          </cell>
        </row>
        <row r="1274">
          <cell r="G1274">
            <v>850000</v>
          </cell>
        </row>
        <row r="1275">
          <cell r="G1275">
            <v>300000</v>
          </cell>
        </row>
        <row r="1276">
          <cell r="G1276">
            <v>2450000</v>
          </cell>
        </row>
        <row r="1278">
          <cell r="G1278">
            <v>3820109</v>
          </cell>
        </row>
        <row r="1279">
          <cell r="G1279">
            <v>2477767.6155641461</v>
          </cell>
        </row>
        <row r="1282">
          <cell r="G1282">
            <v>449045</v>
          </cell>
        </row>
        <row r="1283">
          <cell r="G1283">
            <v>7500</v>
          </cell>
        </row>
        <row r="1284">
          <cell r="G1284">
            <v>531437</v>
          </cell>
        </row>
        <row r="1285">
          <cell r="G1285">
            <v>49143</v>
          </cell>
        </row>
        <row r="1286">
          <cell r="G1286">
            <v>25000</v>
          </cell>
        </row>
        <row r="1287">
          <cell r="G1287">
            <v>238423</v>
          </cell>
        </row>
        <row r="1288">
          <cell r="G1288">
            <v>427905</v>
          </cell>
        </row>
        <row r="1289">
          <cell r="B1289" t="str">
            <v>Lender Inspections</v>
          </cell>
          <cell r="G1289">
            <v>30000</v>
          </cell>
        </row>
        <row r="1291">
          <cell r="G1291">
            <v>340995</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945208</v>
          </cell>
        </row>
        <row r="1309">
          <cell r="B1309" t="str">
            <v>Other: (Specify)</v>
          </cell>
          <cell r="G1309">
            <v>0</v>
          </cell>
        </row>
        <row r="1311">
          <cell r="G1311">
            <v>1819424</v>
          </cell>
        </row>
        <row r="1312">
          <cell r="G1312">
            <v>296769</v>
          </cell>
        </row>
        <row r="1314">
          <cell r="G1314">
            <v>174300</v>
          </cell>
        </row>
        <row r="1315">
          <cell r="G1315">
            <v>25000</v>
          </cell>
        </row>
        <row r="1316">
          <cell r="G1316">
            <v>189000</v>
          </cell>
        </row>
        <row r="1317">
          <cell r="G1317">
            <v>1764000</v>
          </cell>
        </row>
        <row r="1318">
          <cell r="G1318">
            <v>2328984</v>
          </cell>
        </row>
        <row r="1319">
          <cell r="G1319">
            <v>340200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7810550</v>
          </cell>
        </row>
        <row r="1329">
          <cell r="G1329">
            <v>0</v>
          </cell>
        </row>
        <row r="1330">
          <cell r="G1330">
            <v>0</v>
          </cell>
        </row>
        <row r="1331">
          <cell r="G1331">
            <v>0</v>
          </cell>
        </row>
        <row r="1332">
          <cell r="G1332">
            <v>0</v>
          </cell>
        </row>
        <row r="1333">
          <cell r="G1333">
            <v>-1</v>
          </cell>
        </row>
        <row r="1334">
          <cell r="D1334">
            <v>-604</v>
          </cell>
        </row>
        <row r="1347">
          <cell r="D1347">
            <v>0</v>
          </cell>
        </row>
        <row r="1413">
          <cell r="G1413" t="str">
            <v>City of Oakland</v>
          </cell>
        </row>
        <row r="1414">
          <cell r="G1414" t="str">
            <v>Ms. Michele Byrd</v>
          </cell>
        </row>
        <row r="1415">
          <cell r="G1415" t="str">
            <v>Housing Development Manager</v>
          </cell>
        </row>
        <row r="1416">
          <cell r="G1416" t="str">
            <v>250 Frank Ogawa Plaza, Suite
6301</v>
          </cell>
        </row>
        <row r="1417">
          <cell r="G1417" t="str">
            <v>Oakland</v>
          </cell>
        </row>
        <row r="1418">
          <cell r="G1418">
            <v>94612</v>
          </cell>
        </row>
        <row r="1419">
          <cell r="G1419" t="str">
            <v>(510) 238-2087</v>
          </cell>
        </row>
        <row r="1420">
          <cell r="G1420" t="str">
            <v>(510) 238-3714</v>
          </cell>
        </row>
        <row r="1421">
          <cell r="G1421" t="str">
            <v>mailto:mbyrd@oaklandnet.com</v>
          </cell>
        </row>
        <row r="1422">
          <cell r="G1422">
            <v>0</v>
          </cell>
        </row>
        <row r="1425">
          <cell r="D1425" t="str">
            <v>3 Bedrooms</v>
          </cell>
        </row>
        <row r="1426">
          <cell r="D1426">
            <v>0</v>
          </cell>
        </row>
        <row r="1427">
          <cell r="D1427">
            <v>1000</v>
          </cell>
        </row>
        <row r="1428">
          <cell r="D1428">
            <v>265</v>
          </cell>
        </row>
        <row r="1429">
          <cell r="D1429">
            <v>0</v>
          </cell>
        </row>
        <row r="1430">
          <cell r="D1430">
            <v>0.3</v>
          </cell>
        </row>
        <row r="1434">
          <cell r="D1434" t="str">
            <v>3 Bedrooms</v>
          </cell>
        </row>
        <row r="1435">
          <cell r="D1435">
            <v>0</v>
          </cell>
        </row>
        <row r="1436">
          <cell r="D1436">
            <v>1000</v>
          </cell>
        </row>
        <row r="1437">
          <cell r="D1437">
            <v>265</v>
          </cell>
        </row>
        <row r="1438">
          <cell r="D1438">
            <v>0</v>
          </cell>
        </row>
        <row r="1439">
          <cell r="D1439">
            <v>0.4</v>
          </cell>
        </row>
        <row r="1443">
          <cell r="D1443" t="str">
            <v>3 Bedrooms</v>
          </cell>
        </row>
        <row r="1444">
          <cell r="D1444">
            <v>0</v>
          </cell>
        </row>
        <row r="1445">
          <cell r="D1445">
            <v>1000</v>
          </cell>
        </row>
        <row r="1446">
          <cell r="D1446">
            <v>265</v>
          </cell>
        </row>
        <row r="1447">
          <cell r="D1447">
            <v>0</v>
          </cell>
        </row>
        <row r="1448">
          <cell r="D1448">
            <v>0.5</v>
          </cell>
        </row>
        <row r="1452">
          <cell r="D1452" t="str">
            <v>3 Bedrooms</v>
          </cell>
        </row>
        <row r="1453">
          <cell r="D1453">
            <v>0</v>
          </cell>
        </row>
        <row r="1454">
          <cell r="D1454">
            <v>1000</v>
          </cell>
        </row>
        <row r="1455">
          <cell r="D1455">
            <v>265</v>
          </cell>
        </row>
        <row r="1456">
          <cell r="D1456">
            <v>0</v>
          </cell>
        </row>
        <row r="1457">
          <cell r="D1457">
            <v>0.6</v>
          </cell>
        </row>
        <row r="1461">
          <cell r="D1461" t="str">
            <v>3 Bedrooms</v>
          </cell>
        </row>
        <row r="1462">
          <cell r="D1462">
            <v>0</v>
          </cell>
        </row>
        <row r="1463">
          <cell r="D1463">
            <v>1000</v>
          </cell>
        </row>
        <row r="1464">
          <cell r="D1464">
            <v>265</v>
          </cell>
        </row>
        <row r="1465">
          <cell r="D1465">
            <v>0</v>
          </cell>
        </row>
        <row r="1466">
          <cell r="D1466">
            <v>0.7</v>
          </cell>
        </row>
        <row r="1470">
          <cell r="D1470" t="str">
            <v>3 Bedrooms</v>
          </cell>
        </row>
        <row r="1471">
          <cell r="D1471">
            <v>0</v>
          </cell>
        </row>
        <row r="1472">
          <cell r="D1472">
            <v>1000</v>
          </cell>
        </row>
        <row r="1473">
          <cell r="D1473">
            <v>265</v>
          </cell>
        </row>
        <row r="1474">
          <cell r="D1474">
            <v>0</v>
          </cell>
        </row>
        <row r="1475">
          <cell r="D1475">
            <v>0.8</v>
          </cell>
        </row>
      </sheetData>
      <sheetData sheetId="8"/>
      <sheetData sheetId="9">
        <row r="11">
          <cell r="H11" t="str">
            <v>Moderate Resource</v>
          </cell>
        </row>
        <row r="30">
          <cell r="N30">
            <v>1</v>
          </cell>
        </row>
        <row r="32">
          <cell r="N32">
            <v>12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1">
          <cell r="G101">
            <v>31138058.645228885</v>
          </cell>
        </row>
      </sheetData>
      <sheetData sheetId="25"/>
      <sheetData sheetId="26"/>
      <sheetData sheetId="27"/>
      <sheetData sheetId="28"/>
      <sheetData sheetId="29"/>
      <sheetData sheetId="30"/>
      <sheetData sheetId="31"/>
      <sheetData sheetId="3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2600</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2599</v>
      </c>
      <c r="E18" s="441"/>
      <c r="G18" s="441"/>
      <c r="H18" s="441"/>
      <c r="I18" s="441"/>
      <c r="J18" s="1264" t="s">
        <v>2598</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2514</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2138</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652</v>
      </c>
      <c r="F40" s="1262" t="s">
        <v>1162</v>
      </c>
    </row>
    <row r="41" spans="1:38" s="1262"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L11" sqref="L11"/>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1" t="s">
        <v>1583</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E18</f>
        <v>57834502</v>
      </c>
      <c r="I3" s="1105"/>
    </row>
    <row r="4" spans="1:13" s="1051" customFormat="1" ht="20.100000000000001" customHeight="1">
      <c r="B4" s="1094"/>
      <c r="D4" s="1108"/>
      <c r="F4" s="1092" t="s">
        <v>1989</v>
      </c>
      <c r="G4" s="1091" t="s">
        <v>1988</v>
      </c>
      <c r="H4" s="1093">
        <f>I18</f>
        <v>15676127.488153595</v>
      </c>
      <c r="I4" s="1095"/>
      <c r="K4" s="1055"/>
    </row>
    <row r="5" spans="1:13" s="1051" customFormat="1" ht="20.100000000000001" customHeight="1" thickBot="1">
      <c r="B5" s="1096"/>
      <c r="C5" s="1097"/>
      <c r="D5" s="1109"/>
      <c r="E5" s="1098"/>
      <c r="F5" s="1109" t="s">
        <v>1939</v>
      </c>
      <c r="G5" s="1110"/>
      <c r="H5" s="1106">
        <f>IFERROR(H3/H4,0)</f>
        <v>3.6893360330033911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1937</v>
      </c>
      <c r="C8" s="2665"/>
      <c r="D8" s="2665"/>
      <c r="E8" s="2666"/>
      <c r="G8" s="2667" t="s">
        <v>1938</v>
      </c>
      <c r="H8" s="2668"/>
      <c r="I8" s="2669"/>
      <c r="K8" s="1057"/>
    </row>
    <row r="9" spans="1:13" ht="15" customHeight="1">
      <c r="A9" s="1046"/>
      <c r="B9" s="2662" t="s">
        <v>1971</v>
      </c>
      <c r="C9" s="2662"/>
      <c r="D9" s="2662"/>
      <c r="E9" s="1059">
        <f>G33</f>
        <v>12227500</v>
      </c>
      <c r="G9" s="2670" t="s">
        <v>1969</v>
      </c>
      <c r="H9" s="2670"/>
      <c r="I9" s="1060">
        <f>SUMIF(Application!M554:M565,"Loan, Tax-Exempt",Application!AM554:AM565)</f>
        <v>17154743</v>
      </c>
      <c r="K9" s="1061"/>
      <c r="M9" s="1062"/>
    </row>
    <row r="10" spans="1:13" ht="15" customHeight="1" thickBot="1">
      <c r="A10" s="1046"/>
      <c r="B10" s="2662" t="s">
        <v>1972</v>
      </c>
      <c r="C10" s="2662"/>
      <c r="D10" s="2662"/>
      <c r="E10" s="1060">
        <f>G47</f>
        <v>19898352</v>
      </c>
      <c r="G10" s="2674" t="s">
        <v>1940</v>
      </c>
      <c r="H10" s="2674"/>
      <c r="I10" s="1140">
        <f>'Basis &amp; Credits'!AB78</f>
        <v>0</v>
      </c>
      <c r="M10" s="1062"/>
    </row>
    <row r="11" spans="1:13" ht="15" customHeight="1">
      <c r="A11" s="1046"/>
      <c r="B11" s="2678" t="s">
        <v>2259</v>
      </c>
      <c r="C11" s="2679"/>
      <c r="D11" s="2680"/>
      <c r="E11" s="1060">
        <f>SUM(E12,E13)</f>
        <v>520000</v>
      </c>
      <c r="G11" s="2677" t="s">
        <v>1980</v>
      </c>
      <c r="H11" s="2677"/>
      <c r="I11" s="1139">
        <f>I9+I10</f>
        <v>17154743</v>
      </c>
      <c r="M11" s="1062"/>
    </row>
    <row r="12" spans="1:13" ht="15" customHeight="1">
      <c r="A12" s="1063"/>
      <c r="B12" s="2663" t="s">
        <v>2261</v>
      </c>
      <c r="C12" s="2663"/>
      <c r="D12" s="2663"/>
      <c r="E12" s="1165">
        <f>G56</f>
        <v>0</v>
      </c>
      <c r="M12" s="1062"/>
    </row>
    <row r="13" spans="1:13" ht="15" customHeight="1">
      <c r="A13" s="1049"/>
      <c r="B13" s="2663" t="s">
        <v>2262</v>
      </c>
      <c r="C13" s="2663"/>
      <c r="D13" s="2663"/>
      <c r="E13" s="1165">
        <f>G65</f>
        <v>520000</v>
      </c>
      <c r="G13" s="2667" t="s">
        <v>2003</v>
      </c>
      <c r="H13" s="2668"/>
      <c r="I13" s="2669"/>
      <c r="M13" s="1062"/>
    </row>
    <row r="14" spans="1:13" ht="15" customHeight="1">
      <c r="A14" s="1049"/>
      <c r="B14" s="2678" t="s">
        <v>2260</v>
      </c>
      <c r="C14" s="2679"/>
      <c r="D14" s="2680"/>
      <c r="E14" s="1167">
        <f>MAX(E15,E16)+E17</f>
        <v>25188650</v>
      </c>
      <c r="G14" s="2670" t="s">
        <v>139</v>
      </c>
      <c r="H14" s="2670"/>
      <c r="I14" s="1064">
        <f>15%*(AND(G120="Yes",G122&lt;&gt;""))</f>
        <v>0</v>
      </c>
      <c r="M14" s="1062"/>
    </row>
    <row r="15" spans="1:13" ht="15" customHeight="1">
      <c r="A15" s="1049"/>
      <c r="B15" s="2681" t="s">
        <v>2266</v>
      </c>
      <c r="C15" s="2682"/>
      <c r="D15" s="2683"/>
      <c r="E15" s="1165">
        <f>G80</f>
        <v>7336500</v>
      </c>
      <c r="G15" s="1137" t="s">
        <v>1981</v>
      </c>
      <c r="H15" s="1137"/>
      <c r="I15" s="1064">
        <f>IF(Application!AJ1032&gt;0,10%,IF(Application!AJ1036&gt;0,5%,0))</f>
        <v>0</v>
      </c>
      <c r="M15" s="1062"/>
    </row>
    <row r="16" spans="1:13" ht="15" customHeight="1">
      <c r="A16" s="1049"/>
      <c r="B16" s="2681" t="s">
        <v>2265</v>
      </c>
      <c r="C16" s="2682"/>
      <c r="D16" s="2683"/>
      <c r="E16" s="1165">
        <f>G90</f>
        <v>4891000</v>
      </c>
      <c r="G16" s="2670" t="s">
        <v>1982</v>
      </c>
      <c r="H16" s="2670"/>
      <c r="I16" s="1064">
        <f>G132</f>
        <v>8.6192810457516339E-2</v>
      </c>
    </row>
    <row r="17" spans="1:21" ht="15" customHeight="1" thickBot="1">
      <c r="A17" s="1049"/>
      <c r="B17" s="2681" t="s">
        <v>2264</v>
      </c>
      <c r="C17" s="2682"/>
      <c r="D17" s="2683"/>
      <c r="E17" s="1165">
        <f>G115</f>
        <v>17852150</v>
      </c>
      <c r="G17" s="2670" t="s">
        <v>2274</v>
      </c>
      <c r="H17" s="2670"/>
      <c r="I17" s="1064">
        <f>IF(AND(G139="Yes",OR(G136,G137)),IF(G143&gt;15%,15%,G143),0)</f>
        <v>0</v>
      </c>
    </row>
    <row r="18" spans="1:21" ht="15" customHeight="1">
      <c r="A18" s="1046"/>
      <c r="B18" s="2673" t="s">
        <v>1936</v>
      </c>
      <c r="C18" s="2673"/>
      <c r="D18" s="2673"/>
      <c r="E18" s="1111">
        <f>SUM(E9:E11,E14)</f>
        <v>57834502</v>
      </c>
      <c r="G18" s="1138" t="s">
        <v>1970</v>
      </c>
      <c r="H18" s="1138"/>
      <c r="I18" s="1112">
        <f>I11-((I11*I14)+(I11*I15)+(I11*I16)+(I11*I17))</f>
        <v>15676127.488153595</v>
      </c>
      <c r="M18" s="1065">
        <f>SUM(Cdlac[Quantity])</f>
        <v>249</v>
      </c>
      <c r="O18" s="1084" t="s">
        <v>581</v>
      </c>
      <c r="P18" s="1044">
        <f>MATCH(Application!T189,Application!CB160:CB217,0)</f>
        <v>1</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26</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1" t="s">
        <v>1984</v>
      </c>
      <c r="D22" s="2671" t="s">
        <v>1985</v>
      </c>
      <c r="E22" s="2671" t="s">
        <v>1986</v>
      </c>
      <c r="F22" s="2671" t="s">
        <v>2605</v>
      </c>
      <c r="G22" s="2671" t="s">
        <v>1983</v>
      </c>
      <c r="H22" s="1070"/>
      <c r="I22" s="1069"/>
      <c r="L22" s="1044">
        <f>IFERROR(MIN(4,MATCH(Application!B720,UnitSizes,0)-1),"")</f>
        <v>0</v>
      </c>
      <c r="M22" s="1065">
        <f>Application!G720</f>
        <v>26</v>
      </c>
      <c r="N22" s="1071">
        <f>Application!AC720</f>
        <v>0.5</v>
      </c>
      <c r="O22" s="1071">
        <f>IF(Cdlac[[#This Row],[Quantity]]&gt;0,IF(Cdlac[[#This Row],[Federal]],30%,IF(AND(OR(NOT($G$38),$G$38=""),$G$43),40%,Cdlac[[#This Row],[iAMI]])),"")</f>
        <v>0.5</v>
      </c>
      <c r="P22" s="1065" cm="1">
        <f t="array" ref="P22">IF(Cdlac[[#This Row],[Quantity]]&gt;0,INDEX(TcacRents,$P$18,Cdlac[[#This Row],[Bedrooms]]+1)*Cdlac[[#This Row],[AMI]],"")</f>
        <v>1398</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539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0</v>
      </c>
      <c r="M23" s="1065">
        <f>Application!G721</f>
        <v>45</v>
      </c>
      <c r="N23" s="1071">
        <f>Application!AC721</f>
        <v>0.6</v>
      </c>
      <c r="O23" s="1071">
        <f>IF(Cdlac[[#This Row],[Quantity]]&gt;0,IF(Cdlac[[#This Row],[Federal]],30%,IF(AND(OR(NOT($G$38),$G$38=""),$G$43),40%,Cdlac[[#This Row],[iAMI]])),"")</f>
        <v>0.6</v>
      </c>
      <c r="P23" s="1065" cm="1">
        <f t="array" ref="P23">IF(Cdlac[[#This Row],[Quantity]]&gt;0,INDEX(TcacRents,$P$18,Cdlac[[#This Row],[Bedrooms]]+1)*Cdlac[[#This Row],[AMI]],"")</f>
        <v>1677.6</v>
      </c>
      <c r="Q23" s="1164"/>
      <c r="R23" s="1065" cm="1">
        <f t="array" ref="R23">IF(Cdlac[[#This Row],[Quantity]]&gt;0,INDEX(HudFmrs,$P$18,Cdlac[[#This Row],[Bedrooms]]+1),"")</f>
        <v>1937</v>
      </c>
      <c r="S23" s="1065">
        <f>IF(Cdlac[[#This Row],[Quantity]]&gt;0,MAX(0,Cdlac[[#This Row],[Fair Market Rent]]-IF(AND($G$37,$G$38,$G$38&lt;&gt;"",NOT(Cdlac[[#This Row],[Federal]]),Cdlac[[#This Row],[Preservation Rent]]&lt;&gt;""),Cdlac[[#This Row],[Preservation Rent]],Cdlac[[#This Row],[Restricted Rent]])),"")</f>
        <v>259.40000000000009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97</v>
      </c>
      <c r="F24" s="1072">
        <f>E24</f>
        <v>97</v>
      </c>
      <c r="G24" s="1072">
        <f>D24*F24</f>
        <v>87.3</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131</v>
      </c>
      <c r="F25" s="1072">
        <f>E25</f>
        <v>131</v>
      </c>
      <c r="G25" s="1072">
        <f>D25*F25</f>
        <v>131</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21</v>
      </c>
      <c r="G26" s="1072">
        <f>D26*F26</f>
        <v>26.25</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5" t="s">
        <v>1584</v>
      </c>
      <c r="D29" s="2686"/>
      <c r="E29" s="1089">
        <f>SUM(E24:E28)</f>
        <v>249</v>
      </c>
      <c r="F29" s="1089">
        <f>SUM(F24:F28)</f>
        <v>249</v>
      </c>
      <c r="G29" s="1090">
        <f>SUMPRODUCT(D24:D28,F24:F28)</f>
        <v>244.55</v>
      </c>
      <c r="H29" s="1074"/>
      <c r="I29" s="1074"/>
      <c r="L29" s="1044">
        <f>IFERROR(MIN(4,MATCH(Application!B727,UnitSizes,0)-1),"")</f>
        <v>1</v>
      </c>
      <c r="M29" s="1065">
        <f>Application!G727</f>
        <v>131</v>
      </c>
      <c r="N29" s="1071">
        <f>Application!AC727</f>
        <v>0.6</v>
      </c>
      <c r="O29" s="1071">
        <f>IF(Cdlac[[#This Row],[Quantity]]&gt;0,IF(Cdlac[[#This Row],[Federal]],30%,IF(AND(OR(NOT($G$38),$G$38=""),$G$43),40%,Cdlac[[#This Row],[iAMI]])),"")</f>
        <v>0.6</v>
      </c>
      <c r="P29" s="1065" cm="1">
        <f t="array" ref="P29">IF(Cdlac[[#This Row],[Quantity]]&gt;0,INDEX(TcacRents,$P$18,Cdlac[[#This Row],[Bedrooms]]+1)*Cdlac[[#This Row],[AMI]],"")</f>
        <v>1797.6</v>
      </c>
      <c r="Q29" s="1164"/>
      <c r="R29" s="1065" cm="1">
        <f t="array" ref="R29">IF(Cdlac[[#This Row],[Quantity]]&gt;0,INDEX(HudFmrs,$P$18,Cdlac[[#This Row],[Bedrooms]]+1),"")</f>
        <v>2201</v>
      </c>
      <c r="S29" s="1065">
        <f>IF(Cdlac[[#This Row],[Quantity]]&gt;0,MAX(0,Cdlac[[#This Row],[Fair Market Rent]]-IF(AND($G$37,$G$38,$G$38&lt;&gt;"",NOT(Cdlac[[#This Row],[Federal]]),Cdlac[[#This Row],[Preservation Rent]]&lt;&gt;""),Cdlac[[#This Row],[Preservation Rent]],Cdlac[[#This Row],[Restricted Rent]])),"")</f>
        <v>403.40000000000009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244.55</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12227500</v>
      </c>
      <c r="H33" s="1074"/>
      <c r="I33" s="1074"/>
      <c r="L33" s="1044">
        <f>IFERROR(MIN(4,MATCH(Application!B731,UnitSizes,0)-1),"")</f>
        <v>2</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21</v>
      </c>
      <c r="N36" s="1071">
        <f>Application!AC734</f>
        <v>0.7</v>
      </c>
      <c r="O36" s="1071">
        <f>IF(Cdlac[[#This Row],[Quantity]]&gt;0,IF(Cdlac[[#This Row],[Federal]],30%,IF(AND(OR(NOT($G$38),$G$38=""),$G$43),40%,Cdlac[[#This Row],[iAMI]])),"")</f>
        <v>0.7</v>
      </c>
      <c r="P36" s="1065" cm="1">
        <f t="array" ref="P36">IF(Cdlac[[#This Row],[Quantity]]&gt;0,INDEX(TcacRents,$P$18,Cdlac[[#This Row],[Bedrooms]]+1)*Cdlac[[#This Row],[AMI]],"")</f>
        <v>2517.1999999999998</v>
      </c>
      <c r="Q36" s="1164"/>
      <c r="R36" s="1065" cm="1">
        <f t="array" ref="R36">IF(Cdlac[[#This Row],[Quantity]]&gt;0,INDEX(HudFmrs,$P$18,Cdlac[[#This Row],[Bedrooms]]+1),"")</f>
        <v>2682</v>
      </c>
      <c r="S36" s="1065">
        <f>IF(Cdlac[[#This Row],[Quantity]]&gt;0,MAX(0,Cdlac[[#This Row],[Fair Market Rent]]-IF(AND($G$37,$G$38,$G$38&lt;&gt;"",NOT(Cdlac[[#This Row],[Federal]]),Cdlac[[#This Row],[Preservation Rent]]&lt;&gt;""),Cdlac[[#This Row],[Preservation Rent]],Cdlac[[#This Row],[Restricted Rent]])),"")</f>
        <v>164.80000000000018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f>IFERROR(MIN(4,MATCH(Application!B738,UnitSizes,0)-1),"")</f>
        <v>3</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f>IFERROR(MIN(4,MATCH(Application!B739,UnitSizes,0)-1),"")</f>
        <v>3</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0.56666666666666665</v>
      </c>
      <c r="L42" s="1044">
        <f>IFERROR(MIN(4,MATCH(Application!B740,UnitSizes,0)-1),"")</f>
        <v>3</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110546.40000000001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19898352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26</v>
      </c>
    </row>
    <row r="61" spans="2:21" ht="15" customHeight="1">
      <c r="E61" s="1117" t="s">
        <v>1992</v>
      </c>
      <c r="G61" s="1079">
        <f>ROUNDDOWN(E29*50%,0)</f>
        <v>124</v>
      </c>
    </row>
    <row r="62" spans="2:21" ht="15" customHeight="1">
      <c r="E62" s="1117"/>
      <c r="G62" s="1079"/>
    </row>
    <row r="63" spans="2:21" ht="15" customHeight="1">
      <c r="E63" s="1117" t="s">
        <v>1952</v>
      </c>
      <c r="G63" s="1114">
        <f>MIN(G60:G61)</f>
        <v>26</v>
      </c>
    </row>
    <row r="64" spans="2:21" ht="15" customHeight="1">
      <c r="E64" s="1117" t="s">
        <v>1942</v>
      </c>
      <c r="F64" s="1113" t="s">
        <v>1990</v>
      </c>
      <c r="G64" s="1124">
        <v>20000</v>
      </c>
    </row>
    <row r="65" spans="2:14" ht="15" customHeight="1">
      <c r="E65" s="1118" t="s">
        <v>1974</v>
      </c>
      <c r="F65" s="1046"/>
      <c r="G65" s="1123">
        <f>G63*G64</f>
        <v>520000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Moderate Resource</v>
      </c>
      <c r="L72" s="2658" t="s">
        <v>1967</v>
      </c>
      <c r="M72" s="2659"/>
      <c r="N72" s="1131">
        <v>30000</v>
      </c>
    </row>
    <row r="73" spans="2:14" ht="15" customHeight="1">
      <c r="C73" s="2660" t="s">
        <v>2258</v>
      </c>
      <c r="D73" s="2660"/>
      <c r="E73" s="2660"/>
      <c r="F73" s="2660"/>
      <c r="G73" s="1043" t="str">
        <f>'[1]Data Port'!$D$18</f>
        <v>Yes</v>
      </c>
      <c r="L73" s="2675" t="s">
        <v>1935</v>
      </c>
      <c r="M73" s="2676"/>
      <c r="N73" s="1132">
        <v>20000</v>
      </c>
    </row>
    <row r="74" spans="2:14" ht="15" customHeight="1" thickBot="1">
      <c r="C74" s="2660"/>
      <c r="D74" s="2660"/>
      <c r="E74" s="2660"/>
      <c r="F74" s="2660"/>
      <c r="L74" s="2650" t="s">
        <v>1968</v>
      </c>
      <c r="M74" s="2651"/>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G29</f>
        <v>244.55</v>
      </c>
    </row>
    <row r="80" spans="2:14" ht="15" customHeight="1">
      <c r="D80" s="1046"/>
      <c r="E80" s="1118" t="s">
        <v>2263</v>
      </c>
      <c r="F80" s="1046"/>
      <c r="G80" s="1123">
        <f>G79*G78*G76</f>
        <v>7336500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G29</f>
        <v>244.55</v>
      </c>
    </row>
    <row r="89" spans="2:9" ht="15" customHeight="1">
      <c r="E89" s="1084" t="s">
        <v>1942</v>
      </c>
      <c r="F89" s="1113" t="s">
        <v>1990</v>
      </c>
      <c r="G89" s="1050">
        <v>20000</v>
      </c>
    </row>
    <row r="90" spans="2:9" ht="15" customHeight="1">
      <c r="E90" s="1118" t="s">
        <v>2267</v>
      </c>
      <c r="F90" s="1046"/>
      <c r="G90" s="1123">
        <f>G86*G89*G88</f>
        <v>4891000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244.55</v>
      </c>
    </row>
    <row r="97" spans="2:14" ht="15" customHeight="1">
      <c r="E97" s="1118" t="s">
        <v>1959</v>
      </c>
      <c r="F97" s="1046"/>
      <c r="G97" s="1123">
        <f>G94*G95*G96</f>
        <v>6847400</v>
      </c>
      <c r="L97" s="1127" t="str">
        <f>'Points System'!H638</f>
        <v>(i)</v>
      </c>
      <c r="M97" s="2656" t="s">
        <v>1403</v>
      </c>
      <c r="N97" s="2657"/>
    </row>
    <row r="98" spans="2:14" ht="15" customHeight="1">
      <c r="C98" s="1077"/>
      <c r="G98" s="1114"/>
      <c r="L98" s="1128" t="str">
        <f>'Points System'!H650</f>
        <v>N/A</v>
      </c>
      <c r="M98" s="2652" t="s">
        <v>1954</v>
      </c>
      <c r="N98" s="2653"/>
    </row>
    <row r="99" spans="2:14" ht="15" customHeight="1">
      <c r="E99" s="1084" t="s">
        <v>1995</v>
      </c>
      <c r="G99" s="1126">
        <f>COUNTIFS(L97:L104,"(i)")</f>
        <v>5</v>
      </c>
      <c r="L99" s="1128" t="str">
        <f>'Points System'!H685</f>
        <v>(i)</v>
      </c>
      <c r="M99" s="2652" t="s">
        <v>1955</v>
      </c>
      <c r="N99" s="2653"/>
    </row>
    <row r="100" spans="2:14" ht="15" customHeight="1">
      <c r="E100" s="1084" t="s">
        <v>1942</v>
      </c>
      <c r="F100" s="1113" t="s">
        <v>1990</v>
      </c>
      <c r="G100" s="1124">
        <v>4000</v>
      </c>
      <c r="L100" s="1128" t="str">
        <f>IF(OR('Points System'!H709="(ii)",'Points System'!H709="(i)"),"(i)","N/A")</f>
        <v>(i)</v>
      </c>
      <c r="M100" s="2652" t="s">
        <v>1956</v>
      </c>
      <c r="N100" s="2653"/>
    </row>
    <row r="101" spans="2:14" ht="15" customHeight="1">
      <c r="E101" s="1118" t="s">
        <v>1960</v>
      </c>
      <c r="F101" s="1046"/>
      <c r="G101" s="1123">
        <f>G96*G99*G100</f>
        <v>4891000</v>
      </c>
      <c r="L101" s="1129" t="str">
        <f>'Points System'!H723</f>
        <v>N/A</v>
      </c>
      <c r="M101" s="2652" t="s">
        <v>1429</v>
      </c>
      <c r="N101" s="2653"/>
    </row>
    <row r="102" spans="2:14" ht="15" customHeight="1">
      <c r="L102" s="1128" t="str">
        <f>'Points System'!H735</f>
        <v>N/A</v>
      </c>
      <c r="M102" s="2652" t="s">
        <v>1957</v>
      </c>
      <c r="N102" s="2653"/>
    </row>
    <row r="103" spans="2:14" ht="15" customHeight="1">
      <c r="C103" s="1080" t="s">
        <v>1962</v>
      </c>
      <c r="L103" s="1128" t="str">
        <f>'Points System'!H751</f>
        <v>(i)</v>
      </c>
      <c r="M103" s="2652" t="s">
        <v>1958</v>
      </c>
      <c r="N103" s="2653"/>
    </row>
    <row r="104" spans="2:14" ht="15" customHeight="1" thickBot="1">
      <c r="C104" s="1077" t="s">
        <v>1963</v>
      </c>
      <c r="G104" s="1043"/>
      <c r="L104" s="1130" t="str">
        <f>'Points System'!H763</f>
        <v>(i)</v>
      </c>
      <c r="M104" s="2654" t="s">
        <v>1432</v>
      </c>
      <c r="N104" s="2655"/>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244.55</v>
      </c>
    </row>
    <row r="112" spans="2:14" ht="15" customHeight="1">
      <c r="E112" s="1084" t="s">
        <v>1942</v>
      </c>
      <c r="F112" s="1113" t="s">
        <v>1990</v>
      </c>
      <c r="G112" s="1124">
        <v>25000</v>
      </c>
    </row>
    <row r="113" spans="2:9" ht="15" customHeight="1">
      <c r="E113" s="1118" t="s">
        <v>1961</v>
      </c>
      <c r="F113" s="1046"/>
      <c r="G113" s="1123">
        <f>G109*G112*G96</f>
        <v>6113750</v>
      </c>
    </row>
    <row r="114" spans="2:9" ht="15" customHeight="1">
      <c r="C114" s="1077"/>
      <c r="E114" s="1077"/>
    </row>
    <row r="115" spans="2:9" ht="15" customHeight="1">
      <c r="E115" s="1118" t="s">
        <v>2268</v>
      </c>
      <c r="G115" s="1123">
        <f>G113+G101+G97</f>
        <v>17852150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2223</v>
      </c>
      <c r="D119" s="2687"/>
      <c r="E119" s="2687"/>
      <c r="F119" s="2687"/>
    </row>
    <row r="120" spans="2:9" ht="15" customHeight="1">
      <c r="C120" s="2687"/>
      <c r="D120" s="2687"/>
      <c r="E120" s="2687"/>
      <c r="F120" s="2687"/>
      <c r="G120" s="1043"/>
    </row>
    <row r="121" spans="2:9" ht="15" customHeight="1"/>
    <row r="122" spans="2:9" ht="15" customHeight="1">
      <c r="C122" s="1044" t="s">
        <v>2225</v>
      </c>
      <c r="G122" s="2689"/>
      <c r="H122" s="2689"/>
    </row>
    <row r="123" spans="2:9" ht="15" customHeight="1">
      <c r="G123" s="2689"/>
      <c r="H123" s="2689"/>
    </row>
    <row r="124" spans="2:9" ht="15" customHeight="1">
      <c r="G124" s="2690"/>
      <c r="H124" s="2690"/>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1998</v>
      </c>
      <c r="G131" s="1078">
        <f>MEDIAN((Application!CU160:CU217))</f>
        <v>489600</v>
      </c>
    </row>
    <row r="132" spans="2:9">
      <c r="D132" s="1046"/>
      <c r="E132" s="1118" t="s">
        <v>2000</v>
      </c>
      <c r="F132" s="1134"/>
      <c r="G132" s="1135">
        <f>((G130-G131)/G131)*0.25</f>
        <v>8.6192810457516339E-2</v>
      </c>
      <c r="H132" s="1042"/>
      <c r="I132" s="1042"/>
    </row>
    <row r="133" spans="2:9">
      <c r="D133" s="1045"/>
      <c r="E133" s="1045"/>
    </row>
    <row r="134" spans="2:9">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84" t="s">
        <v>2271</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2273</v>
      </c>
      <c r="G141" s="1169"/>
    </row>
    <row r="143" spans="2:9">
      <c r="E143" s="1084" t="s">
        <v>2275</v>
      </c>
      <c r="G143" s="1168">
        <f>IF(I9=0,0,G141/I9)</f>
        <v>0</v>
      </c>
    </row>
    <row r="144" spans="2:9">
      <c r="E144" s="1084" t="s">
        <v>2272</v>
      </c>
      <c r="G144" s="1166">
        <f>I9*0.15</f>
        <v>2573211.4499999997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2.8">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Application!G718</f>
        <v>26</v>
      </c>
      <c r="C4" s="1162"/>
      <c r="D4" s="428">
        <f>Application!O718</f>
        <v>738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0</v>
      </c>
      <c r="C5" s="1162"/>
      <c r="D5" s="428">
        <f>Application!O719</f>
        <v>1018</v>
      </c>
      <c r="E5" s="429"/>
      <c r="F5" s="1083"/>
      <c r="G5" s="428">
        <f t="shared" ref="G5:G38" si="2">F5*B5</f>
        <v>0</v>
      </c>
      <c r="H5" s="429"/>
      <c r="I5" s="428" t="str">
        <f t="shared" si="0"/>
        <v/>
      </c>
      <c r="J5" s="428" t="str">
        <f t="shared" si="1"/>
        <v/>
      </c>
      <c r="K5" s="204"/>
      <c r="L5" s="305"/>
    </row>
    <row r="6" spans="1:12">
      <c r="A6" s="428" t="str">
        <f>Application!B720</f>
        <v>SRO/Studio</v>
      </c>
      <c r="B6" s="1082">
        <f>Application!G720</f>
        <v>26</v>
      </c>
      <c r="C6" s="1162"/>
      <c r="D6" s="428">
        <f>Application!O720</f>
        <v>1297</v>
      </c>
      <c r="E6" s="429"/>
      <c r="F6" s="1083"/>
      <c r="G6" s="428">
        <f t="shared" si="2"/>
        <v>0</v>
      </c>
      <c r="H6" s="429"/>
      <c r="I6" s="428" t="str">
        <f t="shared" si="0"/>
        <v/>
      </c>
      <c r="J6" s="428" t="str">
        <f t="shared" si="1"/>
        <v/>
      </c>
      <c r="K6" s="204"/>
      <c r="L6" s="305"/>
    </row>
    <row r="7" spans="1:12">
      <c r="A7" s="428" t="str">
        <f>Application!B721</f>
        <v>SRO/Studio</v>
      </c>
      <c r="B7" s="1082">
        <f>Application!G721</f>
        <v>45</v>
      </c>
      <c r="C7" s="1162"/>
      <c r="D7" s="428">
        <f>Application!O721</f>
        <v>1357</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Application!O722</f>
        <v>1457</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Application!O723</f>
        <v>1457</v>
      </c>
      <c r="E9" s="429"/>
      <c r="F9" s="1083"/>
      <c r="G9" s="428">
        <f t="shared" si="2"/>
        <v>0</v>
      </c>
      <c r="H9" s="429"/>
      <c r="I9" s="428" t="str">
        <f t="shared" si="0"/>
        <v/>
      </c>
      <c r="J9" s="428" t="str">
        <f t="shared" si="1"/>
        <v/>
      </c>
      <c r="K9" s="204"/>
      <c r="L9" s="305"/>
    </row>
    <row r="10" spans="1:12">
      <c r="A10" s="428" t="str">
        <f>Application!B724</f>
        <v>1 Bedroom</v>
      </c>
      <c r="B10" s="1082">
        <f>Application!G724</f>
        <v>0</v>
      </c>
      <c r="C10" s="1162"/>
      <c r="D10" s="428">
        <f>Application!O724</f>
        <v>777</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Application!O725</f>
        <v>1077</v>
      </c>
      <c r="E11" s="429"/>
      <c r="F11" s="1083"/>
      <c r="G11" s="428">
        <f t="shared" si="2"/>
        <v>0</v>
      </c>
      <c r="H11" s="429"/>
      <c r="I11" s="428" t="str">
        <f t="shared" si="0"/>
        <v/>
      </c>
      <c r="J11" s="428" t="str">
        <f t="shared" si="1"/>
        <v/>
      </c>
      <c r="K11" s="204"/>
      <c r="L11" s="305"/>
    </row>
    <row r="12" spans="1:12">
      <c r="A12" s="428" t="str">
        <f>Application!B726</f>
        <v>1 Bedroom</v>
      </c>
      <c r="B12" s="1082">
        <f>Application!G726</f>
        <v>0</v>
      </c>
      <c r="C12" s="1162"/>
      <c r="D12" s="428">
        <f>Application!O726</f>
        <v>1377</v>
      </c>
      <c r="E12" s="429"/>
      <c r="F12" s="1083"/>
      <c r="G12" s="428">
        <f t="shared" si="2"/>
        <v>0</v>
      </c>
      <c r="H12" s="429"/>
      <c r="I12" s="428" t="str">
        <f t="shared" si="0"/>
        <v/>
      </c>
      <c r="J12" s="428" t="str">
        <f t="shared" si="1"/>
        <v/>
      </c>
      <c r="K12" s="204"/>
      <c r="L12" s="305"/>
    </row>
    <row r="13" spans="1:12">
      <c r="A13" s="428" t="str">
        <f>Application!B727</f>
        <v>1 Bedroom</v>
      </c>
      <c r="B13" s="1082">
        <f>Application!G727</f>
        <v>131</v>
      </c>
      <c r="C13" s="1162"/>
      <c r="D13" s="428">
        <f>Application!O727</f>
        <v>1412</v>
      </c>
      <c r="E13" s="429"/>
      <c r="F13" s="1083"/>
      <c r="G13" s="428">
        <f t="shared" si="2"/>
        <v>0</v>
      </c>
      <c r="H13" s="429"/>
      <c r="I13" s="428" t="str">
        <f t="shared" si="0"/>
        <v/>
      </c>
      <c r="J13" s="428" t="str">
        <f t="shared" si="1"/>
        <v/>
      </c>
      <c r="K13" s="204"/>
      <c r="L13" s="305"/>
    </row>
    <row r="14" spans="1:12">
      <c r="A14" s="428" t="str">
        <f>Application!B728</f>
        <v>1 Bedroom</v>
      </c>
      <c r="B14" s="1082">
        <f>Application!G728</f>
        <v>0</v>
      </c>
      <c r="C14" s="1162"/>
      <c r="D14" s="428">
        <f>Application!O728</f>
        <v>1644</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Application!O729</f>
        <v>1644</v>
      </c>
      <c r="E15" s="429"/>
      <c r="F15" s="1083"/>
      <c r="G15" s="428">
        <f t="shared" si="2"/>
        <v>0</v>
      </c>
      <c r="H15" s="429"/>
      <c r="I15" s="428" t="str">
        <f t="shared" si="0"/>
        <v/>
      </c>
      <c r="J15" s="428" t="str">
        <f t="shared" si="1"/>
        <v/>
      </c>
      <c r="K15" s="204"/>
      <c r="L15" s="305"/>
    </row>
    <row r="16" spans="1:12">
      <c r="A16" s="428" t="str">
        <f>Application!B730</f>
        <v>2 Bedrooms</v>
      </c>
      <c r="B16" s="1082">
        <f>Application!G730</f>
        <v>0</v>
      </c>
      <c r="C16" s="1162"/>
      <c r="D16" s="428">
        <f>Application!O730</f>
        <v>909</v>
      </c>
      <c r="E16" s="429"/>
      <c r="F16" s="1083"/>
      <c r="G16" s="428">
        <f t="shared" si="2"/>
        <v>0</v>
      </c>
      <c r="H16" s="429"/>
      <c r="I16" s="428" t="str">
        <f t="shared" si="0"/>
        <v/>
      </c>
      <c r="J16" s="428" t="str">
        <f t="shared" si="1"/>
        <v/>
      </c>
      <c r="K16" s="204"/>
      <c r="L16" s="305"/>
    </row>
    <row r="17" spans="1:12">
      <c r="A17" s="428" t="str">
        <f>Application!B731</f>
        <v>2 Bedrooms</v>
      </c>
      <c r="B17" s="1082">
        <f>Application!G731</f>
        <v>0</v>
      </c>
      <c r="C17" s="1162"/>
      <c r="D17" s="428">
        <f>Application!O731</f>
        <v>1269</v>
      </c>
      <c r="E17" s="429"/>
      <c r="F17" s="1083"/>
      <c r="G17" s="428">
        <f t="shared" si="2"/>
        <v>0</v>
      </c>
      <c r="H17" s="429"/>
      <c r="I17" s="428" t="str">
        <f t="shared" si="0"/>
        <v/>
      </c>
      <c r="J17" s="428" t="str">
        <f t="shared" si="1"/>
        <v/>
      </c>
      <c r="K17" s="204"/>
      <c r="L17" s="305"/>
    </row>
    <row r="18" spans="1:12">
      <c r="A18" s="428" t="str">
        <f>Application!B732</f>
        <v>2 Bedrooms</v>
      </c>
      <c r="B18" s="1082">
        <f>Application!G732</f>
        <v>0</v>
      </c>
      <c r="C18" s="1162"/>
      <c r="D18" s="428">
        <f>Application!O732</f>
        <v>1628</v>
      </c>
      <c r="E18" s="429"/>
      <c r="F18" s="1083"/>
      <c r="G18" s="428">
        <f t="shared" si="2"/>
        <v>0</v>
      </c>
      <c r="H18" s="429"/>
      <c r="I18" s="428" t="str">
        <f t="shared" si="0"/>
        <v/>
      </c>
      <c r="J18" s="428" t="str">
        <f t="shared" si="1"/>
        <v/>
      </c>
      <c r="K18" s="204"/>
      <c r="L18" s="305"/>
    </row>
    <row r="19" spans="1:12">
      <c r="A19" s="428" t="str">
        <f>Application!B733</f>
        <v>2 Bedrooms</v>
      </c>
      <c r="B19" s="1082">
        <f>Application!G733</f>
        <v>0</v>
      </c>
      <c r="C19" s="1162"/>
      <c r="D19" s="428">
        <f>Application!O733</f>
        <v>1988</v>
      </c>
      <c r="E19" s="429"/>
      <c r="F19" s="1083"/>
      <c r="G19" s="428">
        <f t="shared" si="2"/>
        <v>0</v>
      </c>
      <c r="H19" s="429"/>
      <c r="I19" s="428" t="str">
        <f t="shared" si="0"/>
        <v/>
      </c>
      <c r="J19" s="428" t="str">
        <f t="shared" si="1"/>
        <v/>
      </c>
      <c r="K19" s="204"/>
      <c r="L19" s="305"/>
    </row>
    <row r="20" spans="1:12">
      <c r="A20" s="428" t="str">
        <f>Application!B734</f>
        <v>2 Bedrooms</v>
      </c>
      <c r="B20" s="1082">
        <f>Application!G734</f>
        <v>21</v>
      </c>
      <c r="C20" s="1162"/>
      <c r="D20" s="428">
        <f>Application!O734</f>
        <v>2348</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Application!O735</f>
        <v>2707</v>
      </c>
      <c r="E21" s="429"/>
      <c r="F21" s="1083"/>
      <c r="G21" s="428">
        <f t="shared" si="2"/>
        <v>0</v>
      </c>
      <c r="H21" s="429"/>
      <c r="I21" s="428" t="str">
        <f t="shared" si="0"/>
        <v/>
      </c>
      <c r="J21" s="428" t="str">
        <f t="shared" si="1"/>
        <v/>
      </c>
      <c r="K21" s="204"/>
      <c r="L21" s="305"/>
    </row>
    <row r="22" spans="1:12">
      <c r="A22" s="428" t="str">
        <f>Application!B736</f>
        <v>3 Bedrooms</v>
      </c>
      <c r="B22" s="1082">
        <f>Application!G736</f>
        <v>0</v>
      </c>
      <c r="C22" s="1162"/>
      <c r="D22" s="428">
        <f>Application!O736</f>
        <v>265</v>
      </c>
      <c r="E22" s="429"/>
      <c r="F22" s="1083"/>
      <c r="G22" s="428">
        <f t="shared" si="2"/>
        <v>0</v>
      </c>
      <c r="H22" s="429"/>
      <c r="I22" s="428" t="str">
        <f t="shared" si="0"/>
        <v/>
      </c>
      <c r="J22" s="428" t="str">
        <f t="shared" si="1"/>
        <v/>
      </c>
      <c r="K22" s="204"/>
      <c r="L22" s="305"/>
    </row>
    <row r="23" spans="1:12">
      <c r="A23" s="428" t="str">
        <f>Application!B737</f>
        <v>3 Bedrooms</v>
      </c>
      <c r="B23" s="1082">
        <f>Application!G737</f>
        <v>0</v>
      </c>
      <c r="C23" s="1162"/>
      <c r="D23" s="428">
        <f>Application!O737</f>
        <v>265</v>
      </c>
      <c r="E23" s="429"/>
      <c r="F23" s="1083"/>
      <c r="G23" s="428">
        <f t="shared" si="2"/>
        <v>0</v>
      </c>
      <c r="H23" s="429"/>
      <c r="I23" s="428" t="str">
        <f t="shared" si="0"/>
        <v/>
      </c>
      <c r="J23" s="428" t="str">
        <f t="shared" si="1"/>
        <v/>
      </c>
      <c r="K23" s="204"/>
      <c r="L23" s="305"/>
    </row>
    <row r="24" spans="1:12">
      <c r="A24" s="428" t="str">
        <f>Application!B738</f>
        <v>3 Bedrooms</v>
      </c>
      <c r="B24" s="1082">
        <f>Application!G738</f>
        <v>0</v>
      </c>
      <c r="C24" s="1162"/>
      <c r="D24" s="428">
        <f>Application!O738</f>
        <v>265</v>
      </c>
      <c r="E24" s="429"/>
      <c r="F24" s="1083"/>
      <c r="G24" s="428">
        <f t="shared" si="2"/>
        <v>0</v>
      </c>
      <c r="H24" s="429"/>
      <c r="I24" s="428" t="str">
        <f t="shared" si="0"/>
        <v/>
      </c>
      <c r="J24" s="428" t="str">
        <f t="shared" si="1"/>
        <v/>
      </c>
      <c r="K24" s="204"/>
      <c r="L24" s="305"/>
    </row>
    <row r="25" spans="1:12">
      <c r="A25" s="428" t="str">
        <f>Application!B739</f>
        <v>3 Bedrooms</v>
      </c>
      <c r="B25" s="1082">
        <f>Application!G739</f>
        <v>0</v>
      </c>
      <c r="C25" s="1162"/>
      <c r="D25" s="428">
        <f>Application!O739</f>
        <v>265</v>
      </c>
      <c r="E25" s="429"/>
      <c r="F25" s="1083"/>
      <c r="G25" s="428">
        <f t="shared" si="2"/>
        <v>0</v>
      </c>
      <c r="H25" s="429"/>
      <c r="I25" s="428" t="str">
        <f t="shared" si="0"/>
        <v/>
      </c>
      <c r="J25" s="428" t="str">
        <f t="shared" si="1"/>
        <v/>
      </c>
      <c r="K25" s="204"/>
      <c r="L25" s="305"/>
    </row>
    <row r="26" spans="1:12">
      <c r="A26" s="428" t="str">
        <f>Application!B740</f>
        <v>3 Bedrooms</v>
      </c>
      <c r="B26" s="1082">
        <f>Application!G740</f>
        <v>0</v>
      </c>
      <c r="C26" s="1162"/>
      <c r="D26" s="428">
        <f>Application!O740</f>
        <v>265</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Application!O741</f>
        <v>265</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348255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2253</v>
      </c>
    </row>
    <row r="43" spans="1:12">
      <c r="A43" s="2692" t="s">
        <v>2492</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28" sqref="K28"/>
    </sheetView>
  </sheetViews>
  <sheetFormatPr defaultColWidth="0" defaultRowHeight="13.2" zeroHeight="1"/>
  <cols>
    <col min="1" max="1" width="3.6640625" customWidth="1"/>
    <col min="2" max="2" width="30.4414062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2091</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Application!Y801</f>
        <v>4243784.4863999998</v>
      </c>
      <c r="G4" s="219">
        <f>E4*$C$4</f>
        <v>4349879.0985599998</v>
      </c>
      <c r="I4" s="219">
        <f>G4*$C$4</f>
        <v>4458626.0760239996</v>
      </c>
      <c r="K4" s="219">
        <f>I4*$C$4</f>
        <v>4570091.7279245993</v>
      </c>
      <c r="M4" s="219">
        <f>K4*$C$4</f>
        <v>4684344.0211227136</v>
      </c>
      <c r="O4" s="219">
        <f>M4*$C$4</f>
        <v>4801452.6216507806</v>
      </c>
      <c r="Q4" s="219">
        <f>O4*$C$4</f>
        <v>4921488.9371920498</v>
      </c>
      <c r="S4" s="219">
        <f>Q4*$C$4</f>
        <v>5044526.1606218508</v>
      </c>
      <c r="U4" s="219">
        <f>S4*$C$4</f>
        <v>5170639.3146373965</v>
      </c>
      <c r="W4" s="219">
        <f>U4*$C$4</f>
        <v>5299905.2975033307</v>
      </c>
      <c r="Y4" s="219">
        <f>W4*$C$4</f>
        <v>5432402.9299409138</v>
      </c>
      <c r="AA4" s="219">
        <f>Y4*$C$4</f>
        <v>5568213.0031894362</v>
      </c>
      <c r="AC4" s="219">
        <f>AA4*$C$4</f>
        <v>5707418.3282691715</v>
      </c>
      <c r="AE4" s="219">
        <f>AC4*$C$4</f>
        <v>5850103.7864759006</v>
      </c>
      <c r="AG4" s="219">
        <f>AE4*$C$4</f>
        <v>5996356.3811377976</v>
      </c>
    </row>
    <row r="5" spans="1:34" s="210" customFormat="1" ht="13.8">
      <c r="B5" s="210" t="s">
        <v>837</v>
      </c>
      <c r="C5" s="238">
        <f>IF(Application!$D$211="Special Needs",(((0.1*Application!$T$212)+(0.05*(1-Application!$T$212)))),0.05)</f>
        <v>0.05</v>
      </c>
      <c r="E5" s="221">
        <f>-E4*$C$5</f>
        <v>-212189.22432000001</v>
      </c>
      <c r="F5" s="221"/>
      <c r="G5" s="221">
        <f>-G4*$C$5</f>
        <v>-217493.95492799999</v>
      </c>
      <c r="H5" s="221"/>
      <c r="I5" s="221">
        <f>-I4*$C$5</f>
        <v>-222931.3038012</v>
      </c>
      <c r="J5" s="221"/>
      <c r="K5" s="221">
        <f>-K4*$C$5</f>
        <v>-228504.58639622998</v>
      </c>
      <c r="L5" s="221"/>
      <c r="M5" s="221">
        <f>-M4*$C$5</f>
        <v>-234217.2010561357</v>
      </c>
      <c r="N5" s="221"/>
      <c r="O5" s="221">
        <f>-O4*$C$5</f>
        <v>-240072.63108253904</v>
      </c>
      <c r="P5" s="221"/>
      <c r="Q5" s="221">
        <f>-Q4*$C$5</f>
        <v>-246074.4468596025</v>
      </c>
      <c r="R5" s="221"/>
      <c r="S5" s="221">
        <f>-S4*$C$5</f>
        <v>-252226.30803109254</v>
      </c>
      <c r="T5" s="221"/>
      <c r="U5" s="221">
        <f>-U4*$C$5</f>
        <v>-258531.96573186983</v>
      </c>
      <c r="V5" s="221"/>
      <c r="W5" s="221">
        <f>-W4*$C$5</f>
        <v>-264995.26487516653</v>
      </c>
      <c r="X5" s="221"/>
      <c r="Y5" s="221">
        <f>-Y4*$C$5</f>
        <v>-271620.1464970457</v>
      </c>
      <c r="Z5" s="221"/>
      <c r="AA5" s="221">
        <f>-AA4*$C$5</f>
        <v>-278410.65015947184</v>
      </c>
      <c r="AB5" s="221"/>
      <c r="AC5" s="221">
        <f>-AC4*$C$5</f>
        <v>-285370.91641345859</v>
      </c>
      <c r="AD5" s="221"/>
      <c r="AE5" s="221">
        <f>-AE4*$C$5</f>
        <v>-292505.18932379503</v>
      </c>
      <c r="AF5" s="221"/>
      <c r="AG5" s="221">
        <f>-AG4*$C$5</f>
        <v>-299817.81905688992</v>
      </c>
    </row>
    <row r="6" spans="1:34" s="210" customFormat="1" ht="13.8">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201410.5263157895</v>
      </c>
      <c r="F8" s="222"/>
      <c r="G8" s="222">
        <f>E8*$C$8</f>
        <v>206445.78947368421</v>
      </c>
      <c r="H8" s="222"/>
      <c r="I8" s="222">
        <f>G8*$C$8</f>
        <v>211606.93421052629</v>
      </c>
      <c r="J8" s="222"/>
      <c r="K8" s="222">
        <f>I8*$C$8</f>
        <v>216897.10756578943</v>
      </c>
      <c r="L8" s="222"/>
      <c r="M8" s="222">
        <f>K8*$C$8</f>
        <v>222319.53525493413</v>
      </c>
      <c r="N8" s="222"/>
      <c r="O8" s="222">
        <f>M8*$C$8</f>
        <v>227877.52363630748</v>
      </c>
      <c r="P8" s="222"/>
      <c r="Q8" s="222">
        <f>O8*$C$8</f>
        <v>233574.46172721515</v>
      </c>
      <c r="R8" s="222"/>
      <c r="S8" s="222">
        <f>Q8*$C$8</f>
        <v>239413.82327039551</v>
      </c>
      <c r="T8" s="222"/>
      <c r="U8" s="222">
        <f>S8*$C$8</f>
        <v>245399.16885215539</v>
      </c>
      <c r="V8" s="222"/>
      <c r="W8" s="222">
        <f>U8*$C$8</f>
        <v>251534.14807345925</v>
      </c>
      <c r="X8" s="222"/>
      <c r="Y8" s="222">
        <f>W8*$C$8</f>
        <v>257822.50177529571</v>
      </c>
      <c r="Z8" s="222"/>
      <c r="AA8" s="222">
        <f>Y8*$C$8</f>
        <v>264268.06431967806</v>
      </c>
      <c r="AB8" s="222"/>
      <c r="AC8" s="222">
        <f>AA8*$C$8</f>
        <v>270874.76592767</v>
      </c>
      <c r="AD8" s="222"/>
      <c r="AE8" s="222">
        <f>AC8*$C$8</f>
        <v>277646.6350758617</v>
      </c>
      <c r="AF8" s="222"/>
      <c r="AG8" s="222">
        <f>AE8*$C$8</f>
        <v>284587.80095275823</v>
      </c>
    </row>
    <row r="9" spans="1:34" s="210" customFormat="1" ht="13.8">
      <c r="B9" s="210" t="s">
        <v>837</v>
      </c>
      <c r="C9" s="238">
        <f>IF(Application!$D$211="Special Needs",(((0.1*Application!$T$212)+(0.05*(1-Application!$T$212)))),0.05)</f>
        <v>0.05</v>
      </c>
      <c r="E9" s="221">
        <f>-E8*$C$9</f>
        <v>-10070.526315789475</v>
      </c>
      <c r="F9" s="221"/>
      <c r="G9" s="221">
        <f>-G8*$C$9</f>
        <v>-10322.289473684212</v>
      </c>
      <c r="H9" s="221"/>
      <c r="I9" s="221">
        <f>-I8*$C$9</f>
        <v>-10580.346710526315</v>
      </c>
      <c r="J9" s="221"/>
      <c r="K9" s="221">
        <f>-K8*$C$9</f>
        <v>-10844.855378289472</v>
      </c>
      <c r="L9" s="221"/>
      <c r="M9" s="221">
        <f>-M8*$C$9</f>
        <v>-11115.976762746708</v>
      </c>
      <c r="N9" s="221"/>
      <c r="O9" s="221">
        <f>-O8*$C$9</f>
        <v>-11393.876181815374</v>
      </c>
      <c r="P9" s="221"/>
      <c r="Q9" s="221">
        <f>-Q8*$C$9</f>
        <v>-11678.723086360758</v>
      </c>
      <c r="R9" s="221"/>
      <c r="S9" s="221">
        <f>-S8*$C$9</f>
        <v>-11970.691163519776</v>
      </c>
      <c r="T9" s="221"/>
      <c r="U9" s="221">
        <f>-U8*$C$9</f>
        <v>-12269.958442607771</v>
      </c>
      <c r="V9" s="221"/>
      <c r="W9" s="221">
        <f>-W8*$C$9</f>
        <v>-12576.707403672963</v>
      </c>
      <c r="X9" s="221"/>
      <c r="Y9" s="221">
        <f>-Y8*$C$9</f>
        <v>-12891.125088764786</v>
      </c>
      <c r="Z9" s="221"/>
      <c r="AA9" s="221">
        <f>-AA8*$C$9</f>
        <v>-13213.403215983904</v>
      </c>
      <c r="AB9" s="221"/>
      <c r="AC9" s="221">
        <f>-AC8*$C$9</f>
        <v>-13543.738296383501</v>
      </c>
      <c r="AD9" s="221"/>
      <c r="AE9" s="221">
        <f>-AE8*$C$9</f>
        <v>-13882.331753793085</v>
      </c>
      <c r="AF9" s="221"/>
      <c r="AG9" s="221">
        <f>-AG8*$C$9</f>
        <v>-14229.390047637913</v>
      </c>
    </row>
    <row r="10" spans="1:34" s="210" customFormat="1" ht="13.8">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858</v>
      </c>
      <c r="C11" s="216"/>
      <c r="E11" s="223">
        <f>SUM(E4:E10)</f>
        <v>4222935.2620799998</v>
      </c>
      <c r="G11" s="223">
        <f>SUM(G4:G10)</f>
        <v>4328508.6436319994</v>
      </c>
      <c r="I11" s="223">
        <f>SUM(I4:I10)</f>
        <v>4436721.3597227996</v>
      </c>
      <c r="K11" s="223">
        <f>SUM(K4:K10)</f>
        <v>4547639.3937158687</v>
      </c>
      <c r="M11" s="223">
        <f>SUM(M4:M10)</f>
        <v>4661330.3785587652</v>
      </c>
      <c r="O11" s="223">
        <f>SUM(O4:O10)</f>
        <v>4777863.6380227329</v>
      </c>
      <c r="Q11" s="223">
        <f>SUM(Q4:Q10)</f>
        <v>4897310.2289733011</v>
      </c>
      <c r="S11" s="223">
        <f>SUM(S4:S10)</f>
        <v>5019742.9846976344</v>
      </c>
      <c r="U11" s="223">
        <f>SUM(U4:U10)</f>
        <v>5145236.5593150742</v>
      </c>
      <c r="W11" s="223">
        <f>SUM(W4:W10)</f>
        <v>5273867.4732979508</v>
      </c>
      <c r="Y11" s="223">
        <f>SUM(Y4:Y10)</f>
        <v>5405714.1601303993</v>
      </c>
      <c r="AA11" s="223">
        <f>SUM(AA4:AA10)</f>
        <v>5540857.0141336583</v>
      </c>
      <c r="AC11" s="223">
        <f>SUM(AC4:AC10)</f>
        <v>5679378.4394869991</v>
      </c>
      <c r="AE11" s="223">
        <f>SUM(AE4:AE10)</f>
        <v>5821362.9004741739</v>
      </c>
      <c r="AG11" s="223">
        <f>SUM(AG4:AG10)</f>
        <v>5966896.9729860285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Application!W847</f>
        <v>105000</v>
      </c>
      <c r="G15" s="219">
        <f>E15*$C$14</f>
        <v>108674.99999999999</v>
      </c>
      <c r="I15" s="219">
        <f>G15*$C$14</f>
        <v>112478.62499999997</v>
      </c>
      <c r="K15" s="219">
        <f>I15*$C$14</f>
        <v>116415.37687499996</v>
      </c>
      <c r="M15" s="219">
        <f>K15*$C$14</f>
        <v>120489.91506562494</v>
      </c>
      <c r="O15" s="219">
        <f>M15*$C$14</f>
        <v>124707.0620929218</v>
      </c>
      <c r="Q15" s="219">
        <f>O15*$C$14</f>
        <v>129071.80926617405</v>
      </c>
      <c r="S15" s="219">
        <f>Q15*$C$14</f>
        <v>133589.32259049013</v>
      </c>
      <c r="U15" s="219">
        <f>S15*$C$14</f>
        <v>138264.94888115727</v>
      </c>
      <c r="W15" s="219">
        <f>U15*$C$14</f>
        <v>143104.22209199777</v>
      </c>
      <c r="Y15" s="219">
        <f>W15*$C$14</f>
        <v>148112.86986521768</v>
      </c>
      <c r="AA15" s="219">
        <f>Y15*$C$14</f>
        <v>153296.82031050028</v>
      </c>
      <c r="AC15" s="219">
        <f>AA15*$C$14</f>
        <v>158662.20902136777</v>
      </c>
      <c r="AE15" s="219">
        <f>AC15*$C$14</f>
        <v>164215.38633711563</v>
      </c>
      <c r="AG15" s="219">
        <f>AE15*$C$14</f>
        <v>169962.92485891466</v>
      </c>
    </row>
    <row r="16" spans="1:34" s="210" customFormat="1" ht="13.8">
      <c r="A16" s="210" t="s">
        <v>344</v>
      </c>
      <c r="C16" s="233"/>
      <c r="E16" s="222">
        <f>Application!W849</f>
        <v>168935</v>
      </c>
      <c r="F16" s="222"/>
      <c r="G16" s="222">
        <f t="shared" ref="G16:AG21" si="0">E16*$C$14</f>
        <v>174847.72499999998</v>
      </c>
      <c r="H16" s="222"/>
      <c r="I16" s="222">
        <f t="shared" si="0"/>
        <v>180967.39537499996</v>
      </c>
      <c r="J16" s="222"/>
      <c r="K16" s="222">
        <f t="shared" si="0"/>
        <v>187301.25421312495</v>
      </c>
      <c r="L16" s="222"/>
      <c r="M16" s="222">
        <f t="shared" si="0"/>
        <v>193856.79811058432</v>
      </c>
      <c r="N16" s="222"/>
      <c r="O16" s="222">
        <f t="shared" si="0"/>
        <v>200641.78604445476</v>
      </c>
      <c r="P16" s="222"/>
      <c r="Q16" s="222">
        <f t="shared" si="0"/>
        <v>207664.24855601066</v>
      </c>
      <c r="R16" s="222"/>
      <c r="S16" s="222">
        <f t="shared" si="0"/>
        <v>214932.49725547101</v>
      </c>
      <c r="T16" s="222"/>
      <c r="U16" s="222">
        <f t="shared" si="0"/>
        <v>222455.13465941249</v>
      </c>
      <c r="V16" s="222"/>
      <c r="W16" s="222">
        <f t="shared" si="0"/>
        <v>230241.06437249191</v>
      </c>
      <c r="X16" s="222"/>
      <c r="Y16" s="222">
        <f t="shared" si="0"/>
        <v>238299.50162552911</v>
      </c>
      <c r="Z16" s="222"/>
      <c r="AA16" s="222">
        <f t="shared" si="0"/>
        <v>246639.9841824226</v>
      </c>
      <c r="AB16" s="222"/>
      <c r="AC16" s="222">
        <f t="shared" si="0"/>
        <v>255272.38362880738</v>
      </c>
      <c r="AD16" s="222"/>
      <c r="AE16" s="222">
        <f t="shared" si="0"/>
        <v>264206.91705581563</v>
      </c>
      <c r="AF16" s="222"/>
      <c r="AG16" s="222">
        <f t="shared" si="0"/>
        <v>273454.15915276913</v>
      </c>
    </row>
    <row r="17" spans="1:33" s="210" customFormat="1" ht="13.8">
      <c r="A17" s="210" t="s">
        <v>560</v>
      </c>
      <c r="C17" s="233"/>
      <c r="E17" s="222">
        <f>Application!W855</f>
        <v>247968</v>
      </c>
      <c r="F17" s="222"/>
      <c r="G17" s="222">
        <f t="shared" si="0"/>
        <v>256646.87999999998</v>
      </c>
      <c r="H17" s="222"/>
      <c r="I17" s="222">
        <f t="shared" si="0"/>
        <v>265629.52079999994</v>
      </c>
      <c r="J17" s="222"/>
      <c r="K17" s="222">
        <f t="shared" si="0"/>
        <v>274926.55402799993</v>
      </c>
      <c r="L17" s="222"/>
      <c r="M17" s="222">
        <f t="shared" si="0"/>
        <v>284548.98341897991</v>
      </c>
      <c r="N17" s="222"/>
      <c r="O17" s="222">
        <f t="shared" si="0"/>
        <v>294508.19783864421</v>
      </c>
      <c r="P17" s="222"/>
      <c r="Q17" s="222">
        <f t="shared" si="0"/>
        <v>304815.98476299673</v>
      </c>
      <c r="R17" s="222"/>
      <c r="S17" s="222">
        <f t="shared" si="0"/>
        <v>315484.54422970157</v>
      </c>
      <c r="T17" s="222"/>
      <c r="U17" s="222">
        <f t="shared" si="0"/>
        <v>326526.50327774108</v>
      </c>
      <c r="V17" s="222"/>
      <c r="W17" s="222">
        <f t="shared" si="0"/>
        <v>337954.93089246197</v>
      </c>
      <c r="X17" s="222"/>
      <c r="Y17" s="222">
        <f t="shared" si="0"/>
        <v>349783.35347369814</v>
      </c>
      <c r="Z17" s="222"/>
      <c r="AA17" s="222">
        <f t="shared" si="0"/>
        <v>362025.77084527753</v>
      </c>
      <c r="AB17" s="222"/>
      <c r="AC17" s="222">
        <f t="shared" si="0"/>
        <v>374696.67282486224</v>
      </c>
      <c r="AD17" s="222"/>
      <c r="AE17" s="222">
        <f t="shared" si="0"/>
        <v>387811.0563737324</v>
      </c>
      <c r="AF17" s="222"/>
      <c r="AG17" s="222">
        <f t="shared" si="0"/>
        <v>401384.44334681297</v>
      </c>
    </row>
    <row r="18" spans="1:33" s="210" customFormat="1" ht="13.8">
      <c r="A18" s="210" t="s">
        <v>841</v>
      </c>
      <c r="C18" s="233"/>
      <c r="E18" s="222">
        <f>Application!W862</f>
        <v>427835</v>
      </c>
      <c r="F18" s="222"/>
      <c r="G18" s="222">
        <f t="shared" si="0"/>
        <v>442809.22499999998</v>
      </c>
      <c r="H18" s="222"/>
      <c r="I18" s="222">
        <f t="shared" si="0"/>
        <v>458307.54787499993</v>
      </c>
      <c r="J18" s="222"/>
      <c r="K18" s="222">
        <f t="shared" si="0"/>
        <v>474348.31205062487</v>
      </c>
      <c r="L18" s="222"/>
      <c r="M18" s="222">
        <f t="shared" si="0"/>
        <v>490950.50297239667</v>
      </c>
      <c r="N18" s="222"/>
      <c r="O18" s="222">
        <f t="shared" si="0"/>
        <v>508133.77057643054</v>
      </c>
      <c r="P18" s="222"/>
      <c r="Q18" s="222">
        <f t="shared" si="0"/>
        <v>525918.45254660561</v>
      </c>
      <c r="R18" s="222"/>
      <c r="S18" s="222">
        <f t="shared" si="0"/>
        <v>544325.59838573681</v>
      </c>
      <c r="T18" s="222"/>
      <c r="U18" s="222">
        <f t="shared" si="0"/>
        <v>563376.99432923761</v>
      </c>
      <c r="V18" s="222"/>
      <c r="W18" s="222">
        <f t="shared" si="0"/>
        <v>583095.18913076085</v>
      </c>
      <c r="X18" s="222"/>
      <c r="Y18" s="222">
        <f t="shared" si="0"/>
        <v>603503.5207503374</v>
      </c>
      <c r="Z18" s="222"/>
      <c r="AA18" s="222">
        <f t="shared" si="0"/>
        <v>624626.14397659921</v>
      </c>
      <c r="AB18" s="222"/>
      <c r="AC18" s="222">
        <f t="shared" si="0"/>
        <v>646488.05901578011</v>
      </c>
      <c r="AD18" s="222"/>
      <c r="AE18" s="222">
        <f t="shared" si="0"/>
        <v>669115.14108133235</v>
      </c>
      <c r="AF18" s="222"/>
      <c r="AG18" s="222">
        <f t="shared" si="0"/>
        <v>692534.17101917893</v>
      </c>
    </row>
    <row r="19" spans="1:33" s="210" customFormat="1" ht="13.8">
      <c r="A19" s="210" t="s">
        <v>155</v>
      </c>
      <c r="C19" s="233"/>
      <c r="E19" s="222">
        <f>Application!W863</f>
        <v>226800</v>
      </c>
      <c r="F19" s="222"/>
      <c r="G19" s="222">
        <f t="shared" si="0"/>
        <v>234737.99999999997</v>
      </c>
      <c r="H19" s="222"/>
      <c r="I19" s="222">
        <f t="shared" si="0"/>
        <v>242953.82999999996</v>
      </c>
      <c r="J19" s="222"/>
      <c r="K19" s="222">
        <f t="shared" si="0"/>
        <v>251457.21404999995</v>
      </c>
      <c r="L19" s="222"/>
      <c r="M19" s="222">
        <f t="shared" si="0"/>
        <v>260258.21654174992</v>
      </c>
      <c r="N19" s="222"/>
      <c r="O19" s="222">
        <f t="shared" si="0"/>
        <v>269367.25412071112</v>
      </c>
      <c r="P19" s="222"/>
      <c r="Q19" s="222">
        <f t="shared" si="0"/>
        <v>278795.10801493598</v>
      </c>
      <c r="R19" s="222"/>
      <c r="S19" s="222">
        <f t="shared" si="0"/>
        <v>288552.93679545872</v>
      </c>
      <c r="T19" s="222"/>
      <c r="U19" s="222">
        <f t="shared" si="0"/>
        <v>298652.28958329977</v>
      </c>
      <c r="V19" s="222"/>
      <c r="W19" s="222">
        <f t="shared" si="0"/>
        <v>309105.11971871526</v>
      </c>
      <c r="X19" s="222"/>
      <c r="Y19" s="222">
        <f t="shared" si="0"/>
        <v>319923.79890887026</v>
      </c>
      <c r="Z19" s="222"/>
      <c r="AA19" s="222">
        <f t="shared" si="0"/>
        <v>331121.13187068072</v>
      </c>
      <c r="AB19" s="222"/>
      <c r="AC19" s="222">
        <f t="shared" si="0"/>
        <v>342710.3714861545</v>
      </c>
      <c r="AD19" s="222"/>
      <c r="AE19" s="222">
        <f t="shared" si="0"/>
        <v>354705.2344881699</v>
      </c>
      <c r="AF19" s="222"/>
      <c r="AG19" s="222">
        <f t="shared" si="0"/>
        <v>367119.91769525583</v>
      </c>
    </row>
    <row r="20" spans="1:33" s="210" customFormat="1" ht="13.8">
      <c r="A20" s="210" t="s">
        <v>389</v>
      </c>
      <c r="C20" s="233"/>
      <c r="E20" s="222">
        <f>Application!W872</f>
        <v>292410</v>
      </c>
      <c r="F20" s="222"/>
      <c r="G20" s="222">
        <f t="shared" si="0"/>
        <v>302644.34999999998</v>
      </c>
      <c r="H20" s="222"/>
      <c r="I20" s="222">
        <f t="shared" si="0"/>
        <v>313236.90224999993</v>
      </c>
      <c r="J20" s="222"/>
      <c r="K20" s="222">
        <f t="shared" si="0"/>
        <v>324200.19382874988</v>
      </c>
      <c r="L20" s="222"/>
      <c r="M20" s="222">
        <f t="shared" si="0"/>
        <v>335547.20061275607</v>
      </c>
      <c r="N20" s="222"/>
      <c r="O20" s="222">
        <f t="shared" si="0"/>
        <v>347291.35263420251</v>
      </c>
      <c r="P20" s="222"/>
      <c r="Q20" s="222">
        <f t="shared" si="0"/>
        <v>359446.54997639958</v>
      </c>
      <c r="R20" s="222"/>
      <c r="S20" s="222">
        <f t="shared" si="0"/>
        <v>372027.17922557355</v>
      </c>
      <c r="T20" s="222"/>
      <c r="U20" s="222">
        <f t="shared" si="0"/>
        <v>385048.13049846858</v>
      </c>
      <c r="V20" s="222"/>
      <c r="W20" s="222">
        <f t="shared" si="0"/>
        <v>398524.81506591494</v>
      </c>
      <c r="X20" s="222"/>
      <c r="Y20" s="222">
        <f t="shared" si="0"/>
        <v>412473.18359322194</v>
      </c>
      <c r="Z20" s="222"/>
      <c r="AA20" s="222">
        <f t="shared" si="0"/>
        <v>426909.74501898466</v>
      </c>
      <c r="AB20" s="222"/>
      <c r="AC20" s="222">
        <f t="shared" si="0"/>
        <v>441851.5860946491</v>
      </c>
      <c r="AD20" s="222"/>
      <c r="AE20" s="222">
        <f t="shared" si="0"/>
        <v>457316.39160796179</v>
      </c>
      <c r="AF20" s="222"/>
      <c r="AG20" s="222">
        <f t="shared" si="0"/>
        <v>473322.46531424043</v>
      </c>
    </row>
    <row r="21" spans="1:33" s="210" customFormat="1" ht="13.8">
      <c r="A21" s="226" t="s">
        <v>960</v>
      </c>
      <c r="B21" s="226"/>
      <c r="C21" s="233"/>
      <c r="E21" s="232">
        <f>Application!W879</f>
        <v>60480</v>
      </c>
      <c r="F21" s="222"/>
      <c r="G21" s="232">
        <f t="shared" si="0"/>
        <v>62596.799999999996</v>
      </c>
      <c r="H21" s="222"/>
      <c r="I21" s="232">
        <f t="shared" si="0"/>
        <v>64787.687999999987</v>
      </c>
      <c r="J21" s="222"/>
      <c r="K21" s="232">
        <f t="shared" si="0"/>
        <v>67055.257079999981</v>
      </c>
      <c r="L21" s="222"/>
      <c r="M21" s="232">
        <f t="shared" si="0"/>
        <v>69402.191077799973</v>
      </c>
      <c r="N21" s="222"/>
      <c r="O21" s="232">
        <f t="shared" si="0"/>
        <v>71831.267765522964</v>
      </c>
      <c r="P21" s="222"/>
      <c r="Q21" s="232">
        <f t="shared" si="0"/>
        <v>74345.36213731626</v>
      </c>
      <c r="R21" s="222"/>
      <c r="S21" s="232">
        <f t="shared" si="0"/>
        <v>76947.44981212233</v>
      </c>
      <c r="T21" s="222"/>
      <c r="U21" s="232">
        <f t="shared" si="0"/>
        <v>79640.610555546606</v>
      </c>
      <c r="V21" s="222"/>
      <c r="W21" s="232">
        <f t="shared" si="0"/>
        <v>82428.031924990733</v>
      </c>
      <c r="X21" s="222"/>
      <c r="Y21" s="232">
        <f t="shared" si="0"/>
        <v>85313.013042365405</v>
      </c>
      <c r="Z21" s="222"/>
      <c r="AA21" s="232">
        <f t="shared" si="0"/>
        <v>88298.968498848189</v>
      </c>
      <c r="AB21" s="222"/>
      <c r="AC21" s="232">
        <f t="shared" si="0"/>
        <v>91389.432396307864</v>
      </c>
      <c r="AD21" s="222"/>
      <c r="AE21" s="232">
        <f t="shared" si="0"/>
        <v>94588.062530178635</v>
      </c>
      <c r="AF21" s="222"/>
      <c r="AG21" s="232">
        <f t="shared" si="0"/>
        <v>97898.644718734882</v>
      </c>
    </row>
    <row r="22" spans="1:33" s="223" customFormat="1" ht="13.8">
      <c r="A22" s="223" t="s">
        <v>842</v>
      </c>
      <c r="C22" s="233"/>
      <c r="E22" s="223">
        <f>SUM(E15:E21)</f>
        <v>1529428</v>
      </c>
      <c r="G22" s="223">
        <f>SUM(G15:G21)</f>
        <v>1582957.9799999997</v>
      </c>
      <c r="I22" s="223">
        <f>SUM(I15:I21)</f>
        <v>1638361.5092999996</v>
      </c>
      <c r="K22" s="223">
        <f>SUM(K15:K21)</f>
        <v>1695704.1621254995</v>
      </c>
      <c r="M22" s="223">
        <f>SUM(M15:M21)</f>
        <v>1755053.8077998916</v>
      </c>
      <c r="O22" s="223">
        <f>SUM(O15:O21)</f>
        <v>1816480.691072888</v>
      </c>
      <c r="Q22" s="223">
        <f>SUM(Q15:Q21)</f>
        <v>1880057.5152604389</v>
      </c>
      <c r="S22" s="223">
        <f>SUM(S15:S21)</f>
        <v>1945859.5282945542</v>
      </c>
      <c r="U22" s="223">
        <f>SUM(U15:U21)</f>
        <v>2013964.6117848635</v>
      </c>
      <c r="W22" s="223">
        <f>SUM(W15:W21)</f>
        <v>2084453.3731973337</v>
      </c>
      <c r="Y22" s="223">
        <f>SUM(Y15:Y21)</f>
        <v>2157409.2412592396</v>
      </c>
      <c r="AA22" s="223">
        <f>SUM(AA15:AA21)</f>
        <v>2232918.5647033136</v>
      </c>
      <c r="AC22" s="223">
        <f>SUM(AC15:AC21)</f>
        <v>2311070.7144679292</v>
      </c>
      <c r="AE22" s="223">
        <f>SUM(AE15:AE21)</f>
        <v>2391958.1894743061</v>
      </c>
      <c r="AG22" s="223">
        <f>SUM(AG15:AG21)</f>
        <v>2475676.7261059075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Application!AC888</f>
        <v>24900</v>
      </c>
      <c r="F27" s="222"/>
      <c r="G27" s="222">
        <f>E27*$C$27</f>
        <v>25771.499999999996</v>
      </c>
      <c r="H27" s="222"/>
      <c r="I27" s="222">
        <f>G27*$C$27</f>
        <v>26673.502499999995</v>
      </c>
      <c r="J27" s="222"/>
      <c r="K27" s="222">
        <f>I27*$C$27</f>
        <v>27607.075087499994</v>
      </c>
      <c r="L27" s="222"/>
      <c r="M27" s="222">
        <f>K27*$C$27</f>
        <v>28573.322715562492</v>
      </c>
      <c r="N27" s="222"/>
      <c r="O27" s="222">
        <f>M27*$C$27</f>
        <v>29573.389010607178</v>
      </c>
      <c r="P27" s="222"/>
      <c r="Q27" s="222">
        <f>O27*$C$27</f>
        <v>30608.457625978426</v>
      </c>
      <c r="R27" s="222"/>
      <c r="S27" s="222">
        <f>Q27*$C$27</f>
        <v>31679.75364288767</v>
      </c>
      <c r="T27" s="222"/>
      <c r="U27" s="222">
        <f>S27*$C$27</f>
        <v>32788.545020388738</v>
      </c>
      <c r="V27" s="222"/>
      <c r="W27" s="222">
        <f>U27*$C$27</f>
        <v>33936.14409610234</v>
      </c>
      <c r="X27" s="222"/>
      <c r="Y27" s="222">
        <f>W27*$C$27</f>
        <v>35123.909139465919</v>
      </c>
      <c r="Z27" s="222"/>
      <c r="AA27" s="222">
        <f>Y27*$C$27</f>
        <v>36353.245959347223</v>
      </c>
      <c r="AB27" s="222"/>
      <c r="AC27" s="222">
        <f>AA27*$C$27</f>
        <v>37625.609567924374</v>
      </c>
      <c r="AD27" s="222"/>
      <c r="AE27" s="222">
        <f>AC27*$C$27</f>
        <v>38942.50590280172</v>
      </c>
      <c r="AF27" s="222"/>
      <c r="AG27" s="222">
        <f>AE27*$C$27</f>
        <v>40305.493609399775</v>
      </c>
    </row>
    <row r="28" spans="1:33" s="210" customFormat="1" ht="13.8">
      <c r="A28" s="210" t="s">
        <v>845</v>
      </c>
      <c r="C28" s="237"/>
      <c r="E28" s="222">
        <f>Application!AC889</f>
        <v>63000</v>
      </c>
      <c r="F28" s="222"/>
      <c r="G28" s="222">
        <f>$E$28</f>
        <v>63000</v>
      </c>
      <c r="H28" s="222"/>
      <c r="I28" s="222">
        <f>$E$28</f>
        <v>63000</v>
      </c>
      <c r="J28" s="222"/>
      <c r="K28" s="222">
        <f>$E$28</f>
        <v>63000</v>
      </c>
      <c r="L28" s="222"/>
      <c r="M28" s="222">
        <f>$E$28</f>
        <v>63000</v>
      </c>
      <c r="N28" s="222"/>
      <c r="O28" s="222">
        <f>$E$28</f>
        <v>63000</v>
      </c>
      <c r="P28" s="222"/>
      <c r="Q28" s="222">
        <f>$E$28</f>
        <v>63000</v>
      </c>
      <c r="R28" s="222"/>
      <c r="S28" s="222">
        <f>$E$28</f>
        <v>63000</v>
      </c>
      <c r="T28" s="222"/>
      <c r="U28" s="222">
        <f>$E$28</f>
        <v>63000</v>
      </c>
      <c r="V28" s="222"/>
      <c r="W28" s="222">
        <f>$E$28</f>
        <v>63000</v>
      </c>
      <c r="X28" s="222"/>
      <c r="Y28" s="222">
        <f>$E$28</f>
        <v>63000</v>
      </c>
      <c r="Z28" s="222"/>
      <c r="AA28" s="222">
        <f>$E$28</f>
        <v>63000</v>
      </c>
      <c r="AB28" s="222"/>
      <c r="AC28" s="222">
        <f>$E$28</f>
        <v>63000</v>
      </c>
      <c r="AD28" s="222"/>
      <c r="AE28" s="222">
        <f>$E$28</f>
        <v>63000</v>
      </c>
      <c r="AF28" s="222"/>
      <c r="AG28" s="222">
        <f>$E$28</f>
        <v>63000</v>
      </c>
    </row>
    <row r="29" spans="1:33" s="210" customFormat="1" ht="13.8">
      <c r="A29" s="210" t="s">
        <v>1678</v>
      </c>
      <c r="C29" s="237"/>
      <c r="E29" s="222">
        <f>Application!AC890</f>
        <v>11344.44</v>
      </c>
      <c r="F29" s="222"/>
      <c r="G29" s="222">
        <f>$E$29</f>
        <v>11344.44</v>
      </c>
      <c r="H29" s="222"/>
      <c r="I29" s="222">
        <f>$E$29</f>
        <v>11344.44</v>
      </c>
      <c r="J29" s="222"/>
      <c r="K29" s="222">
        <f>$E$29</f>
        <v>11344.44</v>
      </c>
      <c r="L29" s="222"/>
      <c r="M29" s="222">
        <f>$E$29</f>
        <v>11344.44</v>
      </c>
      <c r="N29" s="222"/>
      <c r="O29" s="222">
        <f>$E$29</f>
        <v>11344.44</v>
      </c>
      <c r="P29" s="222"/>
      <c r="Q29" s="222">
        <f>$E$29</f>
        <v>11344.44</v>
      </c>
      <c r="R29" s="222"/>
      <c r="S29" s="222">
        <f>$E$29</f>
        <v>11344.44</v>
      </c>
      <c r="T29" s="222"/>
      <c r="U29" s="222">
        <f>$E$29</f>
        <v>11344.44</v>
      </c>
      <c r="V29" s="222"/>
      <c r="W29" s="222">
        <f>$E$29</f>
        <v>11344.44</v>
      </c>
      <c r="X29" s="222"/>
      <c r="Y29" s="222">
        <f>$E$29</f>
        <v>11344.44</v>
      </c>
      <c r="Z29" s="222"/>
      <c r="AA29" s="222">
        <f>$E$29</f>
        <v>11344.44</v>
      </c>
      <c r="AB29" s="222"/>
      <c r="AC29" s="222">
        <f>$E$29</f>
        <v>11344.44</v>
      </c>
      <c r="AD29" s="222"/>
      <c r="AE29" s="222">
        <f>$E$29</f>
        <v>11344.44</v>
      </c>
      <c r="AF29" s="222"/>
      <c r="AG29" s="222">
        <f>$E$29</f>
        <v>11344.44</v>
      </c>
    </row>
    <row r="30" spans="1:33" s="210" customFormat="1" ht="13.8">
      <c r="A30" s="210" t="s">
        <v>843</v>
      </c>
      <c r="C30" s="237">
        <v>1.02</v>
      </c>
      <c r="E30" s="222">
        <f>Application!AC891</f>
        <v>5587.56</v>
      </c>
      <c r="F30" s="222"/>
      <c r="G30" s="222">
        <f>E30*$C$30</f>
        <v>5699.3112000000001</v>
      </c>
      <c r="H30" s="222"/>
      <c r="I30" s="222">
        <f>G30*$C$30</f>
        <v>5813.2974240000003</v>
      </c>
      <c r="J30" s="222"/>
      <c r="K30" s="222">
        <f>I30*$C$30</f>
        <v>5929.56337248</v>
      </c>
      <c r="L30" s="222"/>
      <c r="M30" s="222">
        <f>K30*$C$30</f>
        <v>6048.1546399296003</v>
      </c>
      <c r="N30" s="222"/>
      <c r="O30" s="222">
        <f>M30*$C$30</f>
        <v>6169.1177327281921</v>
      </c>
      <c r="P30" s="222"/>
      <c r="Q30" s="222">
        <f>O30*$C$30</f>
        <v>6292.5000873827557</v>
      </c>
      <c r="R30" s="222"/>
      <c r="S30" s="222">
        <f>Q30*$C$30</f>
        <v>6418.3500891304111</v>
      </c>
      <c r="T30" s="222"/>
      <c r="U30" s="222">
        <f>S30*$C$30</f>
        <v>6546.7170909130191</v>
      </c>
      <c r="V30" s="222"/>
      <c r="W30" s="222">
        <f>U30*$C$30</f>
        <v>6677.6514327312798</v>
      </c>
      <c r="X30" s="222"/>
      <c r="Y30" s="222">
        <f>W30*$C$30</f>
        <v>6811.2044613859052</v>
      </c>
      <c r="Z30" s="222"/>
      <c r="AA30" s="222">
        <f>Y30*$C$30</f>
        <v>6947.4285506136239</v>
      </c>
      <c r="AB30" s="222"/>
      <c r="AC30" s="222">
        <f>AA30*$C$30</f>
        <v>7086.3771216258965</v>
      </c>
      <c r="AD30" s="222"/>
      <c r="AE30" s="222">
        <f>AC30*$C$30</f>
        <v>7228.1046640584145</v>
      </c>
      <c r="AF30" s="222"/>
      <c r="AG30" s="222">
        <f>AE30*$C$30</f>
        <v>7372.6667573395825</v>
      </c>
    </row>
    <row r="31" spans="1:33" s="210" customFormat="1" ht="13.8">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1634260</v>
      </c>
      <c r="G35" s="223">
        <f>SUM(G22:G33)</f>
        <v>1688773.2311999998</v>
      </c>
      <c r="I35" s="223">
        <f>SUM(I22:I33)</f>
        <v>1745192.7492239994</v>
      </c>
      <c r="K35" s="223">
        <f>SUM(K22:K33)</f>
        <v>1803585.2405854794</v>
      </c>
      <c r="M35" s="223">
        <f>SUM(M22:M33)</f>
        <v>1864019.7251553836</v>
      </c>
      <c r="O35" s="223">
        <f>SUM(O22:O33)</f>
        <v>1926567.6378162233</v>
      </c>
      <c r="Q35" s="223">
        <f>SUM(Q22:Q33)</f>
        <v>1991302.9129738</v>
      </c>
      <c r="S35" s="223">
        <f>SUM(S22:S33)</f>
        <v>2058302.0720265722</v>
      </c>
      <c r="U35" s="223">
        <f>SUM(U22:U33)</f>
        <v>2127644.3138961652</v>
      </c>
      <c r="W35" s="223">
        <f>SUM(W22:W33)</f>
        <v>2199411.6087261671</v>
      </c>
      <c r="Y35" s="223">
        <f>SUM(Y22:Y33)</f>
        <v>2273688.7948600915</v>
      </c>
      <c r="AA35" s="223">
        <f>SUM(AA22:AA33)</f>
        <v>2350563.6792132743</v>
      </c>
      <c r="AC35" s="223">
        <f>SUM(AC22:AC33)</f>
        <v>2430127.1411574795</v>
      </c>
      <c r="AE35" s="223">
        <f>SUM(AE22:AE33)</f>
        <v>2512473.2400411661</v>
      </c>
      <c r="AG35" s="223">
        <f>SUM(AG22:AG33)</f>
        <v>2597699.326472647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2588675.2620799998</v>
      </c>
      <c r="G37" s="223">
        <f>G11-G35</f>
        <v>2639735.4124319996</v>
      </c>
      <c r="I37" s="223">
        <f>I11-I35</f>
        <v>2691528.6104987999</v>
      </c>
      <c r="K37" s="223">
        <f>K11-K35</f>
        <v>2744054.1531303893</v>
      </c>
      <c r="M37" s="223">
        <f>M11-M35</f>
        <v>2797310.6534033818</v>
      </c>
      <c r="O37" s="223">
        <f>O11-O35</f>
        <v>2851296.0002065096</v>
      </c>
      <c r="Q37" s="223">
        <f>Q11-Q35</f>
        <v>2906007.3159995014</v>
      </c>
      <c r="S37" s="223">
        <f>S11-S35</f>
        <v>2961440.9126710622</v>
      </c>
      <c r="U37" s="223">
        <f>U11-U35</f>
        <v>3017592.245418909</v>
      </c>
      <c r="W37" s="223">
        <f>W11-W35</f>
        <v>3074455.8645717837</v>
      </c>
      <c r="Y37" s="223">
        <f>Y11-Y35</f>
        <v>3132025.3652703078</v>
      </c>
      <c r="AA37" s="223">
        <f>AA11-AA35</f>
        <v>3190293.334920384</v>
      </c>
      <c r="AC37" s="223">
        <f>AC11-AC35</f>
        <v>3249251.2983295196</v>
      </c>
      <c r="AE37" s="223">
        <f>AE11-AE35</f>
        <v>3308889.6604330079</v>
      </c>
      <c r="AG37" s="223">
        <f>AG11-AG35</f>
        <v>3369197.6465133815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Keybank (Permanent Loan)</v>
      </c>
      <c r="B40" s="226"/>
      <c r="C40" s="220"/>
      <c r="E40" s="222">
        <f>Application!AF627</f>
        <v>2251445</v>
      </c>
      <c r="F40" s="222"/>
      <c r="G40" s="222">
        <f>$E$40</f>
        <v>2251445</v>
      </c>
      <c r="H40" s="222"/>
      <c r="I40" s="222">
        <f>$E$40</f>
        <v>2251445</v>
      </c>
      <c r="J40" s="222"/>
      <c r="K40" s="222">
        <f>$E$40</f>
        <v>2251445</v>
      </c>
      <c r="L40" s="222"/>
      <c r="M40" s="222">
        <f>$E$40</f>
        <v>2251445</v>
      </c>
      <c r="N40" s="222"/>
      <c r="O40" s="222">
        <f>$E$40</f>
        <v>2251445</v>
      </c>
      <c r="P40" s="222"/>
      <c r="Q40" s="222">
        <f>$E$40</f>
        <v>2251445</v>
      </c>
      <c r="R40" s="222"/>
      <c r="S40" s="222">
        <f>$E$40</f>
        <v>2251445</v>
      </c>
      <c r="T40" s="222"/>
      <c r="U40" s="222">
        <f>$E$40</f>
        <v>2251445</v>
      </c>
      <c r="V40" s="222"/>
      <c r="W40" s="222">
        <f>$E$40</f>
        <v>2251445</v>
      </c>
      <c r="X40" s="222"/>
      <c r="Y40" s="222">
        <f>$E$40</f>
        <v>2251445</v>
      </c>
      <c r="Z40" s="222"/>
      <c r="AA40" s="222">
        <f>$E$40</f>
        <v>2251445</v>
      </c>
      <c r="AB40" s="222"/>
      <c r="AC40" s="222">
        <f>$E$40</f>
        <v>2251445</v>
      </c>
      <c r="AD40" s="222"/>
      <c r="AE40" s="222">
        <f>$E$40</f>
        <v>2251445</v>
      </c>
      <c r="AF40" s="222"/>
      <c r="AG40" s="222">
        <f>$E$40</f>
        <v>2251445</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2251445</v>
      </c>
      <c r="G43" s="223">
        <f>SUM(G40:G42)</f>
        <v>2251445</v>
      </c>
      <c r="I43" s="223">
        <f>SUM(I40:I42)</f>
        <v>2251445</v>
      </c>
      <c r="K43" s="223">
        <f>SUM(K40:K42)</f>
        <v>2251445</v>
      </c>
      <c r="M43" s="223">
        <f>SUM(M40:M42)</f>
        <v>2251445</v>
      </c>
      <c r="O43" s="223">
        <f>SUM(O40:O42)</f>
        <v>2251445</v>
      </c>
      <c r="Q43" s="223">
        <f>SUM(Q40:Q42)</f>
        <v>2251445</v>
      </c>
      <c r="S43" s="223">
        <f>SUM(S40:S42)</f>
        <v>2251445</v>
      </c>
      <c r="U43" s="223">
        <f>SUM(U40:U42)</f>
        <v>2251445</v>
      </c>
      <c r="W43" s="223">
        <f>SUM(W40:W42)</f>
        <v>2251445</v>
      </c>
      <c r="Y43" s="223">
        <f>SUM(Y40:Y42)</f>
        <v>2251445</v>
      </c>
      <c r="AA43" s="223">
        <f>SUM(AA40:AA42)</f>
        <v>2251445</v>
      </c>
      <c r="AC43" s="223">
        <f>SUM(AC40:AC42)</f>
        <v>2251445</v>
      </c>
      <c r="AE43" s="223">
        <f>SUM(AE40:AE42)</f>
        <v>2251445</v>
      </c>
      <c r="AG43" s="223">
        <f>SUM(AG40:AG42)</f>
        <v>2251445</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337230.26207999978</v>
      </c>
      <c r="G45" s="223">
        <f>G37-G43</f>
        <v>388290.41243199958</v>
      </c>
      <c r="I45" s="223">
        <f>I37-I43</f>
        <v>440083.61049879994</v>
      </c>
      <c r="K45" s="223">
        <f>K37-K43</f>
        <v>492609.15313038928</v>
      </c>
      <c r="M45" s="223">
        <f>M37-M43</f>
        <v>545865.65340338182</v>
      </c>
      <c r="O45" s="223">
        <f>O37-O43</f>
        <v>599851.00020650961</v>
      </c>
      <c r="Q45" s="223">
        <f>Q37-Q43</f>
        <v>654562.31599950138</v>
      </c>
      <c r="S45" s="223">
        <f>S37-S43</f>
        <v>709995.91267106216</v>
      </c>
      <c r="U45" s="223">
        <f>U37-U43</f>
        <v>766147.24541890901</v>
      </c>
      <c r="W45" s="223">
        <f>W37-W43</f>
        <v>823010.86457178369</v>
      </c>
      <c r="Y45" s="223">
        <f>Y37-Y43</f>
        <v>880580.36527030775</v>
      </c>
      <c r="AA45" s="223">
        <f>AA37-AA43</f>
        <v>938848.33492038399</v>
      </c>
      <c r="AC45" s="223">
        <f>AC37-AC43</f>
        <v>997806.29832951957</v>
      </c>
      <c r="AE45" s="223">
        <f>AE37-AE43</f>
        <v>1057444.6604330079</v>
      </c>
      <c r="AG45" s="223">
        <f>AG37-AG43</f>
        <v>1117752.6465133815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7.5863997218418799E-2</v>
      </c>
      <c r="G47" s="227">
        <f>G45/(G4+G6+G8)</f>
        <v>8.5220088991408413E-2</v>
      </c>
      <c r="I47" s="227">
        <f>I45/(I4+I6+I8)</f>
        <v>9.4231617466277173E-2</v>
      </c>
      <c r="K47" s="227">
        <f>K45/(K4+K6+K8)</f>
        <v>0.10290584959760521</v>
      </c>
      <c r="M47" s="227">
        <f>M45/(M4+M6+M8)</f>
        <v>0.11124986401276064</v>
      </c>
      <c r="O47" s="227">
        <f>O45/(O4+O6+O8)</f>
        <v>0.11927055549706181</v>
      </c>
      <c r="Q47" s="227">
        <f>Q45/(Q4+Q6+Q8)</f>
        <v>0.12697463936849493</v>
      </c>
      <c r="S47" s="227">
        <f>S45/(S4+S6+S8)</f>
        <v>0.13436865574466011</v>
      </c>
      <c r="U47" s="227">
        <f>U45/(U4+U6+U8)</f>
        <v>0.14145897370457394</v>
      </c>
      <c r="W47" s="227">
        <f>W45/(W4+W6+W8)</f>
        <v>0.1482517953478773</v>
      </c>
      <c r="Y47" s="227">
        <f>Y45/(Y4+Y6+Y8)</f>
        <v>0.15475315975393947</v>
      </c>
      <c r="AA47" s="227">
        <f>AA45/(AA4+AA6+AA8)</f>
        <v>0.16096894684329241</v>
      </c>
      <c r="AC47" s="227">
        <f>AC45/(AC4+AC6+AC8)</f>
        <v>0.16690488114376578</v>
      </c>
      <c r="AE47" s="227">
        <f>AE45/(AE4+AE6+AE8)</f>
        <v>0.1725665354636336</v>
      </c>
      <c r="AG47" s="227">
        <f>AG45/(AG4+AG6+AG8)</f>
        <v>0.17795933447403245</v>
      </c>
    </row>
    <row r="48" spans="1:33" s="227" customFormat="1" ht="13.8">
      <c r="A48" s="227" t="s">
        <v>851</v>
      </c>
      <c r="C48" s="220"/>
      <c r="E48" s="227">
        <f>E45/E43</f>
        <v>0.14978392191681333</v>
      </c>
      <c r="G48" s="227">
        <f>G45/G43</f>
        <v>0.17246275722125104</v>
      </c>
      <c r="I48" s="227">
        <f>I45/I43</f>
        <v>0.1954671824089862</v>
      </c>
      <c r="K48" s="227">
        <f>K45/K43</f>
        <v>0.21879688516947529</v>
      </c>
      <c r="M48" s="227">
        <f>M45/M43</f>
        <v>0.242451249487943</v>
      </c>
      <c r="O48" s="227">
        <f>O45/O43</f>
        <v>0.2664293376949069</v>
      </c>
      <c r="Q48" s="227">
        <f>Q45/Q43</f>
        <v>0.2907298717043949</v>
      </c>
      <c r="S48" s="227">
        <f>S45/S43</f>
        <v>0.31535121340786126</v>
      </c>
      <c r="U48" s="227">
        <f>U45/U43</f>
        <v>0.34029134418958001</v>
      </c>
      <c r="W48" s="227">
        <f>W45/W43</f>
        <v>0.36554784352794922</v>
      </c>
      <c r="Y48" s="227">
        <f>Y45/Y43</f>
        <v>0.3911178666457798</v>
      </c>
      <c r="AA48" s="227">
        <f>AA45/AA43</f>
        <v>0.41699812117124069</v>
      </c>
      <c r="AC48" s="227">
        <f>AC45/AC43</f>
        <v>0.4431848427696522</v>
      </c>
      <c r="AE48" s="227">
        <f>AE45/AE43</f>
        <v>0.46967376970479308</v>
      </c>
      <c r="AG48" s="227">
        <f>AG45/AG43</f>
        <v>0.49646011628682091</v>
      </c>
    </row>
    <row r="49" spans="1:34" s="228" customFormat="1" ht="13.8">
      <c r="A49" s="228" t="s">
        <v>849</v>
      </c>
      <c r="C49" s="229"/>
      <c r="E49" s="228">
        <f>E37/E43</f>
        <v>1.1497839219168133</v>
      </c>
      <c r="G49" s="228">
        <f>G37/G43</f>
        <v>1.1724627572212512</v>
      </c>
      <c r="I49" s="228">
        <f>I37/I43</f>
        <v>1.1954671824089862</v>
      </c>
      <c r="K49" s="228">
        <f>K37/K43</f>
        <v>1.2187968851694753</v>
      </c>
      <c r="M49" s="228">
        <f>M37/M43</f>
        <v>1.2424512494879429</v>
      </c>
      <c r="O49" s="228">
        <f>O37/O43</f>
        <v>1.266429337694907</v>
      </c>
      <c r="Q49" s="228">
        <f>Q37/Q43</f>
        <v>1.2907298717043949</v>
      </c>
      <c r="S49" s="228">
        <f>S37/S43</f>
        <v>1.3153512134078613</v>
      </c>
      <c r="U49" s="228">
        <f>U37/U43</f>
        <v>1.3402913441895801</v>
      </c>
      <c r="W49" s="228">
        <f>W37/W43</f>
        <v>1.3655478435279493</v>
      </c>
      <c r="Y49" s="228">
        <f>Y37/Y43</f>
        <v>1.3911178666457797</v>
      </c>
      <c r="AA49" s="228">
        <f>AA37/AA43</f>
        <v>1.4169981211712406</v>
      </c>
      <c r="AC49" s="228">
        <f>AC37/AC43</f>
        <v>1.4431848427696521</v>
      </c>
      <c r="AE49" s="228">
        <f>AE37/AE43</f>
        <v>1.469673769704793</v>
      </c>
      <c r="AG49" s="228">
        <f>AG37/AG43</f>
        <v>1.496460116286821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337230.26207999978</v>
      </c>
      <c r="G60" s="962">
        <f>G45-G58</f>
        <v>388290.41243199958</v>
      </c>
      <c r="I60" s="962">
        <f>I45-I58</f>
        <v>440083.61049879994</v>
      </c>
      <c r="K60" s="962">
        <f>K45-K58</f>
        <v>492609.15313038928</v>
      </c>
      <c r="M60" s="962">
        <f>M45-M58</f>
        <v>545865.65340338182</v>
      </c>
      <c r="O60" s="962">
        <f>O45-O58</f>
        <v>599851.00020650961</v>
      </c>
      <c r="Q60" s="962">
        <f>Q45-Q58</f>
        <v>654562.31599950138</v>
      </c>
      <c r="S60" s="962">
        <f>S45-S58</f>
        <v>709995.91267106216</v>
      </c>
      <c r="U60" s="962">
        <f>U45-U58</f>
        <v>766147.24541890901</v>
      </c>
      <c r="W60" s="962">
        <f>W45-W58</f>
        <v>823010.86457178369</v>
      </c>
      <c r="Y60" s="962">
        <f>Y45-Y58</f>
        <v>880580.36527030775</v>
      </c>
      <c r="AA60" s="962">
        <f>AA45-AA58</f>
        <v>938848.33492038399</v>
      </c>
      <c r="AC60" s="962">
        <f>AC45-AC58</f>
        <v>997806.29832951957</v>
      </c>
      <c r="AE60" s="962">
        <f>AE45-AE58</f>
        <v>1057444.6604330079</v>
      </c>
      <c r="AG60" s="962">
        <f>AG45-AG58</f>
        <v>1117752.6465133815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337230.26207999978</v>
      </c>
      <c r="G62" s="962">
        <f>G60*$C$62</f>
        <v>388290.41243199958</v>
      </c>
      <c r="I62" s="962">
        <f>I60*$C$62</f>
        <v>440083.61049879994</v>
      </c>
      <c r="K62" s="962">
        <f>K60*$C$62</f>
        <v>492609.15313038928</v>
      </c>
      <c r="M62" s="962">
        <f>M60*$C$62</f>
        <v>545865.65340338182</v>
      </c>
      <c r="O62" s="962">
        <f>O60*$C$62</f>
        <v>599851.00020650961</v>
      </c>
      <c r="Q62" s="962">
        <f>Q60*$C$62</f>
        <v>654562.31599950138</v>
      </c>
      <c r="S62" s="962">
        <f>S60*$C$62</f>
        <v>709995.91267106216</v>
      </c>
      <c r="U62" s="962">
        <f>U60*$C$62</f>
        <v>766147.24541890901</v>
      </c>
      <c r="W62" s="962">
        <f>W60*$C$62</f>
        <v>823010.86457178369</v>
      </c>
      <c r="Y62" s="962">
        <f>Y60*$C$62</f>
        <v>880580.36527030775</v>
      </c>
      <c r="AA62" s="962">
        <f>AA60*$C$62</f>
        <v>938848.33492038399</v>
      </c>
      <c r="AC62" s="962">
        <f>AC60*$C$62</f>
        <v>997806.29832951957</v>
      </c>
      <c r="AE62" s="962">
        <f>AE60*$C$62</f>
        <v>1057444.6604330079</v>
      </c>
      <c r="AG62" s="962">
        <f>AG60*$C$62</f>
        <v>1117752.6465133815</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4380000</v>
      </c>
      <c r="C5" s="266">
        <f>'Sources and Uses Budget'!$C4</f>
        <v>4380000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195000</v>
      </c>
      <c r="C7" s="266">
        <f>'Sources and Uses Budget'!$C6</f>
        <v>195000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4575000</v>
      </c>
      <c r="C9" s="270">
        <f>SUM(C5:C8)</f>
        <v>4575000</v>
      </c>
      <c r="D9" s="270">
        <f t="shared" si="0"/>
        <v>0</v>
      </c>
      <c r="E9" s="268"/>
      <c r="F9" s="267"/>
    </row>
    <row r="10" spans="1:6" s="352" customFormat="1">
      <c r="A10" s="364" t="s">
        <v>593</v>
      </c>
      <c r="B10" s="266">
        <f>'Sources and Uses Budget'!$C9</f>
        <v>250000</v>
      </c>
      <c r="C10" s="266">
        <f>'Sources and Uses Budget'!$C9</f>
        <v>250000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250000</v>
      </c>
      <c r="C12" s="270">
        <f>SUM(C10:C11)</f>
        <v>250000</v>
      </c>
      <c r="D12" s="270">
        <f t="shared" si="0"/>
        <v>0</v>
      </c>
      <c r="E12" s="268"/>
      <c r="F12" s="267"/>
    </row>
    <row r="13" spans="1:6" s="352" customFormat="1">
      <c r="A13" s="365" t="s">
        <v>84</v>
      </c>
      <c r="B13" s="270">
        <f>SUM(B9+B12)</f>
        <v>4825000</v>
      </c>
      <c r="C13" s="270">
        <f>SUM(C9+C12)</f>
        <v>4825000</v>
      </c>
      <c r="D13" s="270">
        <f t="shared" si="0"/>
        <v>0</v>
      </c>
      <c r="E13" s="268"/>
      <c r="F13" s="267"/>
    </row>
    <row r="14" spans="1:6" s="352" customFormat="1">
      <c r="A14" s="366" t="s">
        <v>901</v>
      </c>
      <c r="B14" s="266">
        <f>'Sources and Uses Budget'!$C13</f>
        <v>1755425</v>
      </c>
      <c r="C14" s="266">
        <f>'Sources and Uses Budget'!$C13</f>
        <v>1755425</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93321</v>
      </c>
      <c r="C30" s="266">
        <f>'Sources and Uses Budget'!$C29</f>
        <v>93321</v>
      </c>
      <c r="D30" s="270">
        <f t="shared" si="0"/>
        <v>0</v>
      </c>
      <c r="E30" s="268"/>
      <c r="F30" s="267"/>
    </row>
    <row r="31" spans="1:6" s="352" customFormat="1">
      <c r="A31" s="145" t="s">
        <v>598</v>
      </c>
      <c r="B31" s="266">
        <f>'Sources and Uses Budget'!$C30</f>
        <v>30373825</v>
      </c>
      <c r="C31" s="266">
        <f>'Sources and Uses Budget'!$C30</f>
        <v>30373825</v>
      </c>
      <c r="D31" s="270">
        <f t="shared" si="0"/>
        <v>0</v>
      </c>
      <c r="E31" s="268"/>
      <c r="F31" s="267"/>
    </row>
    <row r="32" spans="1:6" s="352" customFormat="1">
      <c r="A32" s="145" t="s">
        <v>599</v>
      </c>
      <c r="B32" s="266">
        <f>'Sources and Uses Budget'!$C31</f>
        <v>1026982</v>
      </c>
      <c r="C32" s="266">
        <f>'Sources and Uses Budget'!$C31</f>
        <v>1026982</v>
      </c>
      <c r="D32" s="270">
        <f t="shared" si="0"/>
        <v>0</v>
      </c>
      <c r="E32" s="268"/>
      <c r="F32" s="267"/>
    </row>
    <row r="33" spans="1:6" s="352" customFormat="1">
      <c r="A33" s="145" t="s">
        <v>137</v>
      </c>
      <c r="B33" s="266">
        <f>'Sources and Uses Budget'!$C32</f>
        <v>1369310</v>
      </c>
      <c r="C33" s="266">
        <f>'Sources and Uses Budget'!$C32</f>
        <v>1369310</v>
      </c>
      <c r="D33" s="270">
        <f t="shared" si="0"/>
        <v>0</v>
      </c>
      <c r="E33" s="268"/>
      <c r="F33" s="267"/>
    </row>
    <row r="34" spans="1:6" s="352" customFormat="1">
      <c r="A34" s="145" t="s">
        <v>138</v>
      </c>
      <c r="B34" s="266">
        <f>'Sources and Uses Budget'!$C33</f>
        <v>1369310</v>
      </c>
      <c r="C34" s="266">
        <f>'Sources and Uses Budget'!$C33</f>
        <v>1369310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'Sources and Uses Budget'!$C36</f>
        <v>468000</v>
      </c>
      <c r="C37" s="266">
        <f>'Sources and Uses Budget'!$C36</f>
        <v>468000</v>
      </c>
      <c r="D37" s="270"/>
      <c r="E37" s="268"/>
      <c r="F37" s="267"/>
    </row>
    <row r="38" spans="1:6" s="352" customFormat="1">
      <c r="A38" s="155" t="str">
        <f>'Sources and Uses Budget'!A37</f>
        <v>Contractor Contigency</v>
      </c>
      <c r="B38" s="266">
        <f>'Sources and Uses Budget'!$C37</f>
        <v>1196396</v>
      </c>
      <c r="C38" s="266">
        <f>'Sources and Uses Budget'!$C37</f>
        <v>1196396</v>
      </c>
      <c r="D38" s="270">
        <f t="shared" si="0"/>
        <v>0</v>
      </c>
      <c r="E38" s="268"/>
      <c r="F38" s="267"/>
    </row>
    <row r="39" spans="1:6" s="352" customFormat="1">
      <c r="A39" s="271" t="s">
        <v>143</v>
      </c>
      <c r="B39" s="270">
        <f>SUM(B30:B38)</f>
        <v>35897144</v>
      </c>
      <c r="C39" s="270">
        <f>SUM(C30:C38)</f>
        <v>35897144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850000</v>
      </c>
      <c r="C41" s="266">
        <f>'Sources and Uses Budget'!$C40</f>
        <v>850000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1150000</v>
      </c>
      <c r="C43" s="270">
        <f>SUM(C41:C42)</f>
        <v>1150000</v>
      </c>
      <c r="D43" s="270">
        <f t="shared" si="0"/>
        <v>0</v>
      </c>
      <c r="E43" s="268"/>
      <c r="F43" s="267"/>
    </row>
    <row r="44" spans="1:6" s="352" customFormat="1">
      <c r="A44" s="271" t="s">
        <v>148</v>
      </c>
      <c r="B44" s="266">
        <f>'Sources and Uses Budget'!$C43</f>
        <v>2450000</v>
      </c>
      <c r="C44" s="266">
        <f>'Sources and Uses Budget'!$C43</f>
        <v>2450000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3820109</v>
      </c>
      <c r="C46" s="266">
        <f>'Sources and Uses Budget'!$C45</f>
        <v>3820109</v>
      </c>
      <c r="D46" s="270">
        <f t="shared" si="0"/>
        <v>0</v>
      </c>
      <c r="E46" s="268"/>
      <c r="F46" s="267"/>
    </row>
    <row r="47" spans="1:6" s="352" customFormat="1">
      <c r="A47" s="145" t="s">
        <v>151</v>
      </c>
      <c r="B47" s="266">
        <f>'Sources and Uses Budget'!$C46</f>
        <v>449045</v>
      </c>
      <c r="C47" s="266">
        <f>'Sources and Uses Budget'!$C46</f>
        <v>449045</v>
      </c>
      <c r="D47" s="270">
        <f t="shared"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'Sources and Uses Budget'!$C48</f>
        <v>531437</v>
      </c>
      <c r="C49" s="266">
        <f>'Sources and Uses Budget'!$C48</f>
        <v>531437</v>
      </c>
      <c r="D49" s="270">
        <f t="shared" si="0"/>
        <v>0</v>
      </c>
      <c r="E49" s="268"/>
      <c r="F49" s="267"/>
    </row>
    <row r="50" spans="1:6" s="352" customFormat="1">
      <c r="A50" s="145" t="s">
        <v>57</v>
      </c>
      <c r="B50" s="266">
        <f>'Sources and Uses Budget'!$C49</f>
        <v>49143</v>
      </c>
      <c r="C50" s="266">
        <f>'Sources and Uses Budget'!$C49</f>
        <v>49143</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238423</v>
      </c>
      <c r="C52" s="266">
        <f>'Sources and Uses Budget'!$C51</f>
        <v>238423</v>
      </c>
      <c r="D52" s="270">
        <f t="shared" si="0"/>
        <v>0</v>
      </c>
      <c r="E52" s="268"/>
      <c r="F52" s="267"/>
    </row>
    <row r="53" spans="1:6" s="352" customFormat="1">
      <c r="A53" s="145" t="s">
        <v>155</v>
      </c>
      <c r="B53" s="266">
        <f>'Sources and Uses Budget'!$C52</f>
        <v>427905</v>
      </c>
      <c r="C53" s="266">
        <f>'Sources and Uses Budget'!$C52</f>
        <v>427905</v>
      </c>
      <c r="D53" s="270">
        <f t="shared"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SUM(B46:B54)</f>
        <v>5578562</v>
      </c>
      <c r="C55" s="273">
        <f>SUM(C46:C54)</f>
        <v>5578562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340995</v>
      </c>
      <c r="C57" s="266">
        <f>'Sources and Uses Budget'!$C56</f>
        <v>340995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6.4">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65" customHeight="1">
      <c r="A63" s="271" t="s">
        <v>301</v>
      </c>
      <c r="B63" s="270">
        <f>SUM(B57:B62)</f>
        <v>455995</v>
      </c>
      <c r="C63" s="270">
        <f>SUM(C57:C62)</f>
        <v>455995</v>
      </c>
      <c r="D63" s="270">
        <f t="shared" si="0"/>
        <v>0</v>
      </c>
      <c r="E63" s="268"/>
      <c r="F63" s="267"/>
    </row>
    <row r="64" spans="1:6" s="352" customFormat="1">
      <c r="A64" s="274" t="s">
        <v>302</v>
      </c>
      <c r="B64" s="270">
        <f>SUM(B9+B12+B14+B15+B17+B26+B28+B39+B43+B44+B55+B63)</f>
        <v>52112126</v>
      </c>
      <c r="C64" s="270">
        <f>SUM(C9+C12+C14+C15+C17+C26+C28+C39+C43+C44+C55+C63)</f>
        <v>52112126</v>
      </c>
      <c r="D64" s="270">
        <f t="shared" si="0"/>
        <v>0</v>
      </c>
      <c r="E64" s="268"/>
      <c r="F64" s="267"/>
    </row>
    <row r="65" spans="1:6" s="352" customFormat="1" ht="22.8">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2.8">
      <c r="A67" s="283" t="s">
        <v>1639</v>
      </c>
      <c r="B67" s="266">
        <f>'Sources and Uses Budget'!$C66</f>
        <v>15000</v>
      </c>
      <c r="C67" s="266">
        <f>'Sources and Uses Budget'!$C66</f>
        <v>15000</v>
      </c>
      <c r="D67" s="270"/>
      <c r="E67" s="268"/>
      <c r="F67" s="267"/>
    </row>
    <row r="68" spans="1:6" s="352" customFormat="1" ht="22.8">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945208</v>
      </c>
      <c r="C76" s="266">
        <f>'Sources and Uses Budget'!$C75</f>
        <v>945208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945208</v>
      </c>
      <c r="C78" s="270">
        <f>SUM(C73:C77)</f>
        <v>945208</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1819424</v>
      </c>
      <c r="C80" s="266">
        <f>'Sources and Uses Budget'!$C79</f>
        <v>1819424</v>
      </c>
      <c r="D80" s="270">
        <f t="shared" si="1"/>
        <v>0</v>
      </c>
      <c r="E80" s="268"/>
      <c r="F80" s="267"/>
    </row>
    <row r="81" spans="1:6" s="352" customFormat="1">
      <c r="A81" s="510" t="s">
        <v>58</v>
      </c>
      <c r="B81" s="266">
        <f>'Sources and Uses Budget'!$C80</f>
        <v>296769</v>
      </c>
      <c r="C81" s="266">
        <f>'Sources and Uses Budget'!$C80</f>
        <v>296769</v>
      </c>
      <c r="D81" s="270">
        <f>C81-B81</f>
        <v>0</v>
      </c>
      <c r="E81" s="268"/>
      <c r="F81" s="267"/>
    </row>
    <row r="82" spans="1:6" s="352" customFormat="1">
      <c r="A82" s="271" t="s">
        <v>1207</v>
      </c>
      <c r="B82" s="270">
        <f>SUM(B80:B81)</f>
        <v>2116193</v>
      </c>
      <c r="C82" s="270">
        <f>SUM(C80:C81)</f>
        <v>2116193</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174300</v>
      </c>
      <c r="C84" s="266">
        <f>'Sources and Uses Budget'!$C83</f>
        <v>174300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189000</v>
      </c>
      <c r="C86" s="266">
        <f>'Sources and Uses Budget'!$C85</f>
        <v>189000</v>
      </c>
      <c r="D86" s="270">
        <f t="shared" si="1"/>
        <v>0</v>
      </c>
      <c r="E86" s="268"/>
      <c r="F86" s="267"/>
    </row>
    <row r="87" spans="1:6" s="352" customFormat="1">
      <c r="A87" s="269" t="s">
        <v>768</v>
      </c>
      <c r="B87" s="266">
        <f>'Sources and Uses Budget'!$C86</f>
        <v>1764000</v>
      </c>
      <c r="C87" s="266">
        <f>'Sources and Uses Budget'!$C86</f>
        <v>1764000</v>
      </c>
      <c r="D87" s="270">
        <f t="shared" si="1"/>
        <v>0</v>
      </c>
      <c r="E87" s="268"/>
      <c r="F87" s="267"/>
    </row>
    <row r="88" spans="1:6" s="352" customFormat="1">
      <c r="A88" s="269" t="s">
        <v>769</v>
      </c>
      <c r="B88" s="266">
        <f>'Sources and Uses Budget'!$C87</f>
        <v>2328984</v>
      </c>
      <c r="C88" s="266">
        <f>'Sources and Uses Budget'!$C87</f>
        <v>2328984</v>
      </c>
      <c r="D88" s="270">
        <f t="shared" si="1"/>
        <v>0</v>
      </c>
      <c r="E88" s="268"/>
      <c r="F88" s="267"/>
    </row>
    <row r="89" spans="1:6" s="352" customFormat="1">
      <c r="A89" s="269" t="s">
        <v>770</v>
      </c>
      <c r="B89" s="266">
        <f>'Sources and Uses Budget'!$C88</f>
        <v>340200</v>
      </c>
      <c r="C89" s="266">
        <f>'Sources and Uses Budget'!$C88</f>
        <v>340200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4906484</v>
      </c>
      <c r="C97" s="270">
        <f>SUM(C84:C96)</f>
        <v>4906484</v>
      </c>
      <c r="D97" s="270">
        <f t="shared" si="1"/>
        <v>0</v>
      </c>
      <c r="E97" s="268"/>
      <c r="F97" s="267"/>
    </row>
    <row r="98" spans="1:6" s="352" customFormat="1">
      <c r="A98" s="271" t="s">
        <v>774</v>
      </c>
      <c r="B98" s="270">
        <f>SUM(B64+B71+B78+B82+B97)</f>
        <v>60625011</v>
      </c>
      <c r="C98" s="270">
        <f>SUM(C64+C71+C78+C82+C97)</f>
        <v>60625011</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7810550</v>
      </c>
      <c r="C100" s="266">
        <f>'Sources and Uses Budget'!$C99</f>
        <v>7810550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7810550</v>
      </c>
      <c r="C105" s="270">
        <f>SUM(C100:C104)</f>
        <v>7810550</v>
      </c>
      <c r="D105" s="270">
        <f t="shared" si="1"/>
        <v>0</v>
      </c>
      <c r="E105" s="268"/>
      <c r="F105" s="267"/>
    </row>
    <row r="106" spans="1:6" s="352" customFormat="1">
      <c r="A106" s="271" t="s">
        <v>779</v>
      </c>
      <c r="B106" s="273">
        <f>SUM(B98+B105)</f>
        <v>68435561</v>
      </c>
      <c r="C106" s="273">
        <f>SUM(C98+C105)</f>
        <v>68435561</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6640625" style="402" customWidth="1"/>
    <col min="11" max="16384" width="8.88671875" style="402" hidden="1"/>
  </cols>
  <sheetData>
    <row r="1" spans="1:10" ht="15.6">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3.2"/>
    <row r="4" spans="1:10" ht="12.75" customHeight="1">
      <c r="A4" s="1276" t="s">
        <v>2044</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2"/>
    <row r="10" spans="1:10" ht="12.75" customHeight="1">
      <c r="A10" s="1280" t="s">
        <v>1871</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1870</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1187</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1188</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1187</v>
      </c>
    </row>
    <row r="61" spans="1:10" ht="13.2"/>
    <row r="62" spans="1:10" ht="13.2"/>
    <row r="63" spans="1:10" ht="13.2"/>
    <row r="64" spans="1:10" ht="13.2"/>
    <row r="65" spans="1:9" ht="13.2"/>
    <row r="66" spans="1:9" ht="13.2"/>
    <row r="67" spans="1:9" ht="13.2"/>
    <row r="68" spans="1:9" ht="13.2"/>
    <row r="69" spans="1:9" ht="13.2"/>
    <row r="70" spans="1:9" ht="13.2"/>
    <row r="71" spans="1:9" ht="13.2">
      <c r="A71" s="1277" t="s">
        <v>1867</v>
      </c>
      <c r="B71" s="1277"/>
      <c r="C71" s="1277"/>
      <c r="D71" s="1277"/>
      <c r="E71" s="1277"/>
      <c r="F71" s="1277"/>
      <c r="G71" s="1277"/>
      <c r="H71" s="1277"/>
      <c r="I71" s="1277"/>
    </row>
    <row r="72" spans="1:9" ht="13.2">
      <c r="A72" s="1269" t="s">
        <v>2042</v>
      </c>
      <c r="B72" s="1269"/>
      <c r="C72" s="1269"/>
      <c r="D72" s="1269"/>
      <c r="E72" s="1269"/>
    </row>
    <row r="73" spans="1:9" ht="13.2">
      <c r="A73" s="1269" t="s">
        <v>2043</v>
      </c>
      <c r="B73" s="1269"/>
      <c r="C73" s="1269"/>
      <c r="D73" s="1269"/>
      <c r="E73" s="1269"/>
    </row>
    <row r="74" spans="1:9" ht="13.2">
      <c r="A74" s="1269" t="s">
        <v>1868</v>
      </c>
      <c r="B74" s="1269"/>
      <c r="C74" s="1269"/>
      <c r="D74" s="1269"/>
      <c r="E74" s="1269"/>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3.2" zeroHeight="1"/>
  <cols>
    <col min="1" max="1" width="3.44140625" style="480" customWidth="1"/>
    <col min="2" max="2" width="13.44140625" style="480" customWidth="1"/>
    <col min="3" max="3" width="2.44140625" style="480" customWidth="1"/>
    <col min="4" max="5" width="3.44140625" style="402" customWidth="1"/>
    <col min="6" max="6" width="65.44140625" style="402" customWidth="1"/>
    <col min="7" max="7" width="1.44140625" style="402" customWidth="1"/>
    <col min="8" max="8" width="3.44140625" style="402" customWidth="1"/>
    <col min="9" max="9" width="9.109375" style="404" customWidth="1"/>
    <col min="10" max="10" width="8.88671875" style="402" hidden="1" customWidth="1"/>
    <col min="11" max="16384" width="8.88671875" style="402" hidden="1"/>
  </cols>
  <sheetData>
    <row r="1" spans="1:13"/>
    <row r="2" spans="1:13">
      <c r="A2" s="1331" t="s">
        <v>2454</v>
      </c>
      <c r="B2" s="1331"/>
      <c r="C2" s="1331"/>
      <c r="D2" s="1331"/>
      <c r="E2" s="1331"/>
      <c r="F2" s="1331"/>
      <c r="G2" s="1331"/>
      <c r="H2" s="1331"/>
      <c r="I2" s="1331"/>
    </row>
    <row r="3" spans="1:13">
      <c r="A3" s="1319" t="s">
        <v>2215</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2214</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65"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ht="14.4">
      <c r="A15" s="484"/>
      <c r="B15" s="485" t="s">
        <v>307</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ht="14.4">
      <c r="A20" s="484"/>
      <c r="B20" s="485" t="s">
        <v>307</v>
      </c>
      <c r="D20" s="1301" t="s">
        <v>1920</v>
      </c>
      <c r="E20" s="1301"/>
      <c r="F20" s="1301"/>
      <c r="I20" s="490"/>
    </row>
    <row r="21" spans="1:9" ht="14.4">
      <c r="A21" s="484"/>
      <c r="D21" s="1301"/>
      <c r="E21" s="1301"/>
      <c r="F21" s="1301"/>
      <c r="I21" s="490"/>
    </row>
    <row r="22" spans="1:9" ht="14.4">
      <c r="A22" s="484"/>
      <c r="D22" s="392"/>
      <c r="E22" s="96" t="s">
        <v>1916</v>
      </c>
      <c r="F22" s="392"/>
      <c r="I22" s="490"/>
    </row>
    <row r="23" spans="1:9" ht="14.4">
      <c r="A23" s="484"/>
      <c r="B23" s="484"/>
      <c r="D23" s="446"/>
      <c r="I23" s="490"/>
    </row>
    <row r="24" spans="1:9" ht="14.4">
      <c r="A24" s="484"/>
      <c r="B24" s="485" t="s">
        <v>307</v>
      </c>
      <c r="D24" s="1301" t="s">
        <v>1089</v>
      </c>
      <c r="E24" s="1301"/>
      <c r="F24" s="1301"/>
      <c r="I24" s="490"/>
    </row>
    <row r="25" spans="1:9" ht="14.4">
      <c r="A25" s="484"/>
      <c r="B25" s="484"/>
      <c r="D25" s="1301"/>
      <c r="E25" s="1301"/>
      <c r="F25" s="1301"/>
      <c r="I25" s="490"/>
    </row>
    <row r="26" spans="1:9">
      <c r="I26" s="490"/>
    </row>
    <row r="27" spans="1:9" ht="14.4">
      <c r="A27" s="484"/>
      <c r="B27" s="485" t="s">
        <v>307</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2046</v>
      </c>
      <c r="E33" s="1301"/>
      <c r="F33" s="1301"/>
      <c r="I33" s="490"/>
    </row>
    <row r="34" spans="1:9">
      <c r="D34" s="1301"/>
      <c r="E34" s="1301"/>
      <c r="F34" s="1301"/>
      <c r="I34" s="490"/>
    </row>
    <row r="35" spans="1:9" ht="14.4">
      <c r="A35" s="484"/>
      <c r="B35" s="484"/>
      <c r="D35" s="447"/>
      <c r="I35" s="490"/>
    </row>
    <row r="36" spans="1:9" ht="14.4" customHeight="1">
      <c r="A36" s="484"/>
      <c r="B36" s="485" t="s">
        <v>307</v>
      </c>
      <c r="D36" s="1301" t="s">
        <v>1212</v>
      </c>
      <c r="E36" s="1301"/>
      <c r="F36" s="1301"/>
      <c r="I36" s="490"/>
    </row>
    <row r="37" spans="1:9" ht="14.4">
      <c r="A37" s="484"/>
      <c r="B37" s="484"/>
      <c r="D37" s="1301"/>
      <c r="E37" s="1301"/>
      <c r="F37" s="1301"/>
      <c r="I37" s="490"/>
    </row>
    <row r="38" spans="1:9" ht="14.4">
      <c r="A38" s="484"/>
      <c r="B38" s="484"/>
      <c r="D38" s="1301"/>
      <c r="E38" s="1301"/>
      <c r="F38" s="1301"/>
      <c r="I38" s="490"/>
    </row>
    <row r="39" spans="1:9" ht="14.4">
      <c r="A39" s="484"/>
      <c r="B39" s="484"/>
      <c r="D39" s="1301"/>
      <c r="E39" s="1301"/>
      <c r="F39" s="1301"/>
      <c r="I39" s="490"/>
    </row>
    <row r="40" spans="1:9" ht="14.4">
      <c r="A40" s="484"/>
      <c r="B40" s="484"/>
      <c r="I40" s="490"/>
    </row>
    <row r="41" spans="1:9" ht="14.4">
      <c r="A41" s="484"/>
      <c r="B41" s="485" t="s">
        <v>307</v>
      </c>
      <c r="D41" s="1301" t="s">
        <v>1090</v>
      </c>
      <c r="E41" s="1301"/>
      <c r="F41" s="1301"/>
      <c r="I41" s="490"/>
    </row>
    <row r="42" spans="1:9" ht="14.4">
      <c r="A42" s="484"/>
      <c r="B42" s="484"/>
      <c r="D42" s="1301"/>
      <c r="E42" s="1301"/>
      <c r="F42" s="1301"/>
      <c r="I42" s="490"/>
    </row>
    <row r="43" spans="1:9" ht="14.4">
      <c r="A43" s="484"/>
      <c r="B43" s="484"/>
      <c r="D43" s="1301"/>
      <c r="E43" s="1301"/>
      <c r="F43" s="1301"/>
      <c r="I43" s="490"/>
    </row>
    <row r="44" spans="1:9" ht="14.4">
      <c r="A44" s="484"/>
      <c r="B44" s="484"/>
      <c r="D44" s="1301"/>
      <c r="E44" s="1301"/>
      <c r="F44" s="1301"/>
      <c r="I44" s="490"/>
    </row>
    <row r="45" spans="1:9" ht="14.4">
      <c r="A45" s="484"/>
      <c r="B45" s="484"/>
      <c r="D45" s="1301"/>
      <c r="E45" s="1301"/>
      <c r="F45" s="1301"/>
      <c r="I45" s="490"/>
    </row>
    <row r="46" spans="1:9" ht="14.4">
      <c r="A46" s="484"/>
      <c r="B46" s="484"/>
      <c r="D46" s="445"/>
      <c r="E46" s="445"/>
      <c r="F46" s="445"/>
      <c r="I46" s="490"/>
    </row>
    <row r="47" spans="1:9" ht="14.4">
      <c r="A47" s="484"/>
      <c r="B47" s="485" t="s">
        <v>307</v>
      </c>
      <c r="D47" s="1301" t="s">
        <v>1091</v>
      </c>
      <c r="E47" s="1301"/>
      <c r="F47" s="1301"/>
      <c r="I47" s="490"/>
    </row>
    <row r="48" spans="1:9" ht="14.4">
      <c r="A48" s="484"/>
      <c r="B48" s="484"/>
      <c r="D48" s="1301"/>
      <c r="E48" s="1301"/>
      <c r="F48" s="1301"/>
      <c r="I48" s="490"/>
    </row>
    <row r="49" spans="1:9" ht="14.4">
      <c r="A49" s="484"/>
      <c r="B49" s="484"/>
      <c r="D49" s="1301"/>
      <c r="E49" s="1301"/>
      <c r="F49" s="1301"/>
      <c r="I49" s="490"/>
    </row>
    <row r="50" spans="1:9" ht="23.25" customHeight="1">
      <c r="A50" s="484"/>
      <c r="B50" s="484"/>
      <c r="D50" s="1301"/>
      <c r="E50" s="1301"/>
      <c r="F50" s="1301"/>
      <c r="I50" s="490"/>
    </row>
    <row r="51" spans="1:9" ht="14.4">
      <c r="A51" s="484"/>
      <c r="B51" s="484"/>
      <c r="D51" s="446"/>
      <c r="I51" s="490"/>
    </row>
    <row r="52" spans="1:9" ht="14.4" customHeight="1">
      <c r="A52" s="484"/>
      <c r="B52" s="485" t="s">
        <v>307</v>
      </c>
      <c r="D52" s="1301" t="s">
        <v>1092</v>
      </c>
      <c r="E52" s="1301"/>
      <c r="F52" s="1301"/>
      <c r="I52" s="490"/>
    </row>
    <row r="53" spans="1:9" ht="14.4">
      <c r="A53" s="484"/>
      <c r="B53" s="484"/>
      <c r="D53" s="1301"/>
      <c r="E53" s="1301"/>
      <c r="F53" s="1301"/>
      <c r="I53" s="490"/>
    </row>
    <row r="54" spans="1:9" ht="14.4">
      <c r="A54" s="484"/>
      <c r="B54" s="484"/>
      <c r="D54" s="1301"/>
      <c r="E54" s="1301"/>
      <c r="F54" s="1301"/>
      <c r="I54" s="490"/>
    </row>
    <row r="55" spans="1:9" ht="14.4">
      <c r="A55" s="484"/>
      <c r="B55" s="484"/>
      <c r="I55" s="490"/>
    </row>
    <row r="56" spans="1:9" ht="14.4">
      <c r="A56" s="484"/>
      <c r="B56" s="485" t="s">
        <v>307</v>
      </c>
      <c r="D56" s="1324" t="s">
        <v>1093</v>
      </c>
      <c r="E56" s="1324"/>
      <c r="F56" s="1324"/>
      <c r="I56" s="490"/>
    </row>
    <row r="57" spans="1:9" ht="14.4">
      <c r="A57" s="484"/>
      <c r="B57" s="484"/>
      <c r="D57" s="1324"/>
      <c r="E57" s="1324"/>
      <c r="F57" s="1324"/>
      <c r="I57" s="490"/>
    </row>
    <row r="58" spans="1:9" ht="14.4">
      <c r="A58" s="484"/>
      <c r="B58" s="484"/>
      <c r="D58" s="392" t="s">
        <v>1918</v>
      </c>
      <c r="E58" s="445"/>
      <c r="F58" s="445"/>
      <c r="I58" s="490"/>
    </row>
    <row r="59" spans="1:9" ht="14.4">
      <c r="A59" s="484"/>
      <c r="B59" s="484"/>
      <c r="D59" s="445"/>
      <c r="E59" s="312" t="s">
        <v>1917</v>
      </c>
      <c r="F59" s="445"/>
      <c r="I59" s="490"/>
    </row>
    <row r="60" spans="1:9">
      <c r="D60" s="447"/>
      <c r="I60" s="490"/>
    </row>
    <row r="61" spans="1:9" ht="14.4">
      <c r="A61" s="484"/>
      <c r="B61" s="485" t="s">
        <v>307</v>
      </c>
      <c r="D61" s="1301" t="s">
        <v>1094</v>
      </c>
      <c r="E61" s="1301"/>
      <c r="F61" s="1301"/>
      <c r="I61" s="490"/>
    </row>
    <row r="62" spans="1:9">
      <c r="D62" s="1301"/>
      <c r="E62" s="1301"/>
      <c r="F62" s="1301"/>
      <c r="I62" s="490"/>
    </row>
    <row r="63" spans="1:9">
      <c r="D63" s="1301"/>
      <c r="E63" s="1301"/>
      <c r="F63" s="1301"/>
      <c r="I63" s="490"/>
    </row>
    <row r="64" spans="1:9">
      <c r="I64" s="490"/>
    </row>
    <row r="65" spans="1:9" ht="14.4">
      <c r="A65" s="484"/>
      <c r="B65" s="485" t="s">
        <v>307</v>
      </c>
      <c r="D65" s="1301" t="s">
        <v>1095</v>
      </c>
      <c r="E65" s="1301"/>
      <c r="F65" s="1301"/>
      <c r="I65" s="490"/>
    </row>
    <row r="66" spans="1:9">
      <c r="D66" s="1301"/>
      <c r="E66" s="1301"/>
      <c r="F66" s="1301"/>
      <c r="I66" s="490"/>
    </row>
    <row r="67" spans="1:9">
      <c r="I67" s="490"/>
    </row>
    <row r="68" spans="1:9" ht="14.4">
      <c r="A68" s="484"/>
      <c r="B68" s="485" t="s">
        <v>307</v>
      </c>
      <c r="D68" s="1301" t="s">
        <v>1096</v>
      </c>
      <c r="E68" s="1301"/>
      <c r="F68" s="1301"/>
      <c r="I68" s="490"/>
    </row>
    <row r="69" spans="1:9">
      <c r="D69" s="1301"/>
      <c r="E69" s="1301"/>
      <c r="F69" s="1301"/>
      <c r="I69" s="490"/>
    </row>
    <row r="70" spans="1:9">
      <c r="D70" s="1301"/>
      <c r="E70" s="1301"/>
      <c r="F70" s="1301"/>
      <c r="I70" s="490"/>
    </row>
    <row r="71" spans="1:9">
      <c r="I71" s="490"/>
    </row>
    <row r="72" spans="1:9" ht="14.4">
      <c r="A72" s="484"/>
      <c r="B72" s="485" t="s">
        <v>307</v>
      </c>
      <c r="D72" s="1301" t="s">
        <v>1097</v>
      </c>
      <c r="E72" s="1301"/>
      <c r="F72" s="1301"/>
      <c r="I72" s="490"/>
    </row>
    <row r="73" spans="1:9">
      <c r="D73" s="1301"/>
      <c r="E73" s="1301"/>
      <c r="F73" s="1301"/>
      <c r="I73" s="490"/>
    </row>
    <row r="74" spans="1:9" ht="14.4">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65" customHeight="1">
      <c r="A80" s="484"/>
      <c r="B80" s="485" t="s">
        <v>307</v>
      </c>
      <c r="D80" s="1301" t="s">
        <v>1243</v>
      </c>
      <c r="E80" s="1301"/>
      <c r="F80" s="1301"/>
      <c r="I80" s="490"/>
    </row>
    <row r="81" spans="1:9" ht="14.4">
      <c r="A81" s="484"/>
      <c r="B81" s="484"/>
      <c r="D81" s="1301"/>
      <c r="E81" s="1301"/>
      <c r="F81" s="1301"/>
      <c r="I81" s="490"/>
    </row>
    <row r="82" spans="1:9" ht="14.4">
      <c r="A82" s="484"/>
      <c r="B82" s="484"/>
      <c r="D82" s="1301"/>
      <c r="E82" s="1301"/>
      <c r="F82" s="1301"/>
      <c r="I82" s="490"/>
    </row>
    <row r="83" spans="1:9" ht="14.4">
      <c r="A83" s="484"/>
      <c r="B83" s="484"/>
      <c r="D83" s="1301"/>
      <c r="E83" s="1301"/>
      <c r="F83" s="1301"/>
      <c r="I83" s="490"/>
    </row>
    <row r="84" spans="1:9" ht="14.4">
      <c r="A84" s="484"/>
      <c r="B84" s="484"/>
      <c r="D84" s="1301"/>
      <c r="E84" s="1301"/>
      <c r="F84" s="1301"/>
      <c r="I84" s="490"/>
    </row>
    <row r="85" spans="1:9" ht="14.4">
      <c r="A85" s="484"/>
      <c r="B85" s="484"/>
      <c r="D85" s="1301"/>
      <c r="E85" s="1301"/>
      <c r="F85" s="1301"/>
      <c r="I85" s="490"/>
    </row>
    <row r="86" spans="1:9" ht="14.4">
      <c r="A86" s="484"/>
      <c r="B86" s="484"/>
      <c r="D86" s="1301"/>
      <c r="E86" s="1301"/>
      <c r="F86" s="1301"/>
      <c r="I86" s="490"/>
    </row>
    <row r="87" spans="1:9" ht="14.4">
      <c r="A87" s="484"/>
      <c r="B87" s="484"/>
      <c r="D87" s="1301"/>
      <c r="E87" s="1301"/>
      <c r="F87" s="1301"/>
      <c r="I87" s="490"/>
    </row>
    <row r="88" spans="1:9" ht="14.4">
      <c r="A88" s="484"/>
      <c r="B88" s="484"/>
      <c r="D88" s="385"/>
      <c r="E88" s="385"/>
      <c r="F88" s="385"/>
      <c r="I88" s="490"/>
    </row>
    <row r="89" spans="1:9" ht="15" customHeight="1">
      <c r="A89" s="484"/>
      <c r="B89" s="485" t="s">
        <v>307</v>
      </c>
      <c r="D89" s="1301" t="s">
        <v>1740</v>
      </c>
      <c r="E89" s="1301"/>
      <c r="F89" s="1301"/>
      <c r="I89" s="490"/>
    </row>
    <row r="90" spans="1:9" ht="14.4">
      <c r="A90" s="484"/>
      <c r="B90" s="484"/>
      <c r="D90" s="1301"/>
      <c r="E90" s="1301"/>
      <c r="F90" s="1301"/>
      <c r="I90" s="490"/>
    </row>
    <row r="91" spans="1:9" ht="14.4">
      <c r="A91" s="484"/>
      <c r="B91" s="484"/>
      <c r="D91" s="445"/>
      <c r="E91" s="445"/>
      <c r="F91" s="445"/>
      <c r="I91" s="490"/>
    </row>
    <row r="92" spans="1:9" ht="14.4">
      <c r="A92" s="484"/>
      <c r="B92" s="485" t="s">
        <v>307</v>
      </c>
      <c r="D92" s="1301" t="s">
        <v>1743</v>
      </c>
      <c r="E92" s="1301"/>
      <c r="F92" s="1301"/>
      <c r="I92" s="490"/>
    </row>
    <row r="93" spans="1:9" ht="14.4">
      <c r="A93" s="484"/>
      <c r="B93" s="484"/>
      <c r="D93" s="1301"/>
      <c r="E93" s="1301"/>
      <c r="F93" s="1301"/>
      <c r="I93" s="490"/>
    </row>
    <row r="94" spans="1:9" ht="14.4">
      <c r="A94" s="484"/>
      <c r="B94" s="484"/>
      <c r="D94" s="1301"/>
      <c r="E94" s="1301"/>
      <c r="F94" s="1301"/>
      <c r="I94" s="490"/>
    </row>
    <row r="95" spans="1:9" ht="14.4">
      <c r="A95" s="484"/>
      <c r="B95" s="484"/>
      <c r="D95" s="445"/>
      <c r="E95" s="445"/>
      <c r="F95" s="445"/>
      <c r="I95" s="490"/>
    </row>
    <row r="96" spans="1:9" ht="14.4">
      <c r="A96" s="484"/>
      <c r="B96" s="485" t="s">
        <v>307</v>
      </c>
      <c r="D96" s="1301" t="s">
        <v>1742</v>
      </c>
      <c r="E96" s="1301"/>
      <c r="F96" s="1301"/>
      <c r="I96" s="490"/>
    </row>
    <row r="97" spans="1:9" s="987" customFormat="1" ht="14.4">
      <c r="A97" s="985"/>
      <c r="B97" s="985"/>
      <c r="C97" s="986"/>
      <c r="D97" s="1301"/>
      <c r="E97" s="1301"/>
      <c r="F97" s="1301"/>
      <c r="I97" s="1154"/>
    </row>
    <row r="98" spans="1:9" ht="14.4">
      <c r="A98" s="484"/>
      <c r="B98" s="484"/>
      <c r="D98" s="392"/>
      <c r="E98" s="312" t="s">
        <v>1921</v>
      </c>
      <c r="F98" s="445"/>
      <c r="I98" s="490"/>
    </row>
    <row r="99" spans="1:9" ht="14.4">
      <c r="A99" s="484"/>
      <c r="B99" s="484"/>
      <c r="D99" s="385"/>
      <c r="E99" s="385"/>
      <c r="F99" s="385"/>
      <c r="I99" s="490"/>
    </row>
    <row r="100" spans="1:9" ht="14.4">
      <c r="A100" s="484"/>
      <c r="B100" s="485" t="s">
        <v>307</v>
      </c>
      <c r="D100" s="1301" t="s">
        <v>1741</v>
      </c>
      <c r="E100" s="1301"/>
      <c r="F100" s="1301"/>
      <c r="I100" s="490"/>
    </row>
    <row r="101" spans="1:9" ht="14.4">
      <c r="A101" s="484"/>
      <c r="B101" s="484"/>
      <c r="D101" s="1301"/>
      <c r="E101" s="1301"/>
      <c r="F101" s="1301"/>
      <c r="I101" s="490"/>
    </row>
    <row r="102" spans="1:9" ht="14.4">
      <c r="A102" s="484"/>
      <c r="B102" s="484"/>
      <c r="D102" s="445"/>
      <c r="E102" s="445"/>
      <c r="F102" s="445"/>
      <c r="I102" s="490"/>
    </row>
    <row r="103" spans="1:9" ht="14.4" customHeight="1">
      <c r="A103" s="484"/>
      <c r="B103" s="485" t="s">
        <v>307</v>
      </c>
      <c r="D103" s="1301" t="s">
        <v>1192</v>
      </c>
      <c r="E103" s="1301"/>
      <c r="F103" s="1301"/>
      <c r="I103" s="490"/>
    </row>
    <row r="104" spans="1:9" ht="14.4">
      <c r="A104" s="484"/>
      <c r="B104" s="484"/>
      <c r="D104" s="1301"/>
      <c r="E104" s="1301"/>
      <c r="F104" s="1301"/>
      <c r="I104" s="490"/>
    </row>
    <row r="105" spans="1:9" ht="14.4">
      <c r="A105" s="484"/>
      <c r="B105" s="484"/>
      <c r="D105" s="1301"/>
      <c r="E105" s="1301"/>
      <c r="F105" s="1301"/>
      <c r="I105" s="490"/>
    </row>
    <row r="106" spans="1:9" ht="14.4">
      <c r="A106" s="484"/>
      <c r="B106" s="484"/>
      <c r="D106" s="1301"/>
      <c r="E106" s="1301"/>
      <c r="F106" s="1301"/>
      <c r="I106" s="490"/>
    </row>
    <row r="107" spans="1:9" ht="14.4">
      <c r="A107" s="484"/>
      <c r="B107" s="484"/>
      <c r="D107" s="1301"/>
      <c r="E107" s="1301"/>
      <c r="F107" s="1301"/>
      <c r="I107" s="490"/>
    </row>
    <row r="108" spans="1:9" ht="14.4">
      <c r="A108" s="484"/>
      <c r="B108" s="484"/>
      <c r="D108" s="1301"/>
      <c r="E108" s="1301"/>
      <c r="F108" s="1301"/>
      <c r="I108" s="490"/>
    </row>
    <row r="109" spans="1:9" ht="14.4">
      <c r="A109" s="484"/>
      <c r="B109" s="484"/>
      <c r="D109" s="1301"/>
      <c r="E109" s="1301"/>
      <c r="F109" s="1301"/>
      <c r="I109" s="490"/>
    </row>
    <row r="110" spans="1:9" ht="14.4">
      <c r="A110" s="484"/>
      <c r="B110" s="484"/>
      <c r="D110" s="1301"/>
      <c r="E110" s="1301"/>
      <c r="F110" s="1301"/>
      <c r="I110" s="490"/>
    </row>
    <row r="111" spans="1:9" ht="14.4">
      <c r="A111" s="484"/>
      <c r="B111" s="484"/>
      <c r="D111" s="1301"/>
      <c r="E111" s="1301"/>
      <c r="F111" s="1301"/>
      <c r="I111" s="490"/>
    </row>
    <row r="112" spans="1:9" ht="14.4">
      <c r="A112" s="484"/>
      <c r="B112" s="484"/>
      <c r="D112" s="1301"/>
      <c r="E112" s="1301"/>
      <c r="F112" s="1301"/>
      <c r="I112" s="490"/>
    </row>
    <row r="113" spans="1:9" ht="14.4">
      <c r="A113" s="484"/>
      <c r="B113" s="484"/>
      <c r="D113" s="1301"/>
      <c r="E113" s="1301"/>
      <c r="F113" s="1301"/>
      <c r="I113" s="490"/>
    </row>
    <row r="114" spans="1:9" ht="14.4">
      <c r="A114" s="484"/>
      <c r="B114" s="484"/>
      <c r="D114" s="1301"/>
      <c r="E114" s="1301"/>
      <c r="F114" s="1301"/>
      <c r="I114" s="490"/>
    </row>
    <row r="115" spans="1:9" ht="14.4">
      <c r="A115" s="484"/>
      <c r="B115" s="484"/>
      <c r="D115" s="1301"/>
      <c r="E115" s="1301"/>
      <c r="F115" s="1301"/>
      <c r="I115" s="490"/>
    </row>
    <row r="116" spans="1:9" ht="14.4">
      <c r="A116" s="484"/>
      <c r="B116" s="484"/>
      <c r="D116" s="1301"/>
      <c r="E116" s="1301"/>
      <c r="F116" s="1301"/>
      <c r="I116" s="490"/>
    </row>
    <row r="117" spans="1:9" ht="14.4">
      <c r="A117" s="484"/>
      <c r="B117" s="484"/>
      <c r="D117" s="1301"/>
      <c r="E117" s="1301"/>
      <c r="F117" s="1301"/>
      <c r="I117" s="490"/>
    </row>
    <row r="118" spans="1:9" ht="14.4">
      <c r="A118" s="484"/>
      <c r="B118" s="484"/>
      <c r="D118" s="524"/>
      <c r="E118" s="524"/>
      <c r="F118" s="524"/>
      <c r="I118" s="490"/>
    </row>
    <row r="119" spans="1:9" ht="14.25" customHeight="1">
      <c r="A119" s="484"/>
      <c r="B119" s="485" t="s">
        <v>307</v>
      </c>
      <c r="D119" s="1323" t="s">
        <v>1101</v>
      </c>
      <c r="E119" s="1323"/>
      <c r="F119" s="1323"/>
      <c r="I119" s="490"/>
    </row>
    <row r="120" spans="1:9" ht="14.4">
      <c r="A120" s="484"/>
      <c r="B120" s="484"/>
      <c r="D120" s="1323"/>
      <c r="E120" s="1323"/>
      <c r="F120" s="1323"/>
      <c r="I120" s="490"/>
    </row>
    <row r="121" spans="1:9" ht="14.4">
      <c r="A121" s="484"/>
      <c r="B121" s="484"/>
      <c r="D121" s="1323"/>
      <c r="E121" s="1323"/>
      <c r="F121" s="1323"/>
      <c r="I121" s="490"/>
    </row>
    <row r="122" spans="1:9" ht="14.4">
      <c r="A122" s="484"/>
      <c r="B122" s="484"/>
      <c r="D122" s="1323"/>
      <c r="E122" s="1323"/>
      <c r="F122" s="1323"/>
      <c r="I122" s="490"/>
    </row>
    <row r="123" spans="1:9" ht="14.4">
      <c r="A123" s="484"/>
      <c r="B123" s="484"/>
      <c r="D123" s="1323"/>
      <c r="E123" s="1323"/>
      <c r="F123" s="1323"/>
      <c r="I123" s="490"/>
    </row>
    <row r="124" spans="1:9" ht="14.4">
      <c r="A124" s="484"/>
      <c r="B124" s="484"/>
      <c r="D124" s="1323"/>
      <c r="E124" s="1323"/>
      <c r="F124" s="1323"/>
      <c r="I124" s="490"/>
    </row>
    <row r="125" spans="1:9" ht="14.4">
      <c r="A125" s="484"/>
      <c r="B125" s="484"/>
      <c r="D125" s="1323"/>
      <c r="E125" s="1323"/>
      <c r="F125" s="1323"/>
      <c r="I125" s="490"/>
    </row>
    <row r="126" spans="1:9" ht="14.4">
      <c r="A126" s="484"/>
      <c r="B126" s="484"/>
      <c r="D126" s="1323"/>
      <c r="E126" s="1323"/>
      <c r="F126" s="1323"/>
      <c r="I126" s="490"/>
    </row>
    <row r="127" spans="1:9">
      <c r="C127" s="402"/>
      <c r="D127" s="525"/>
      <c r="E127" s="525"/>
      <c r="F127" s="525"/>
      <c r="I127" s="490"/>
    </row>
    <row r="128" spans="1:9" ht="14.4">
      <c r="A128" s="484"/>
      <c r="B128" s="485" t="s">
        <v>307</v>
      </c>
      <c r="C128" s="402"/>
      <c r="D128" s="1323" t="s">
        <v>2047</v>
      </c>
      <c r="E128" s="1323"/>
      <c r="F128" s="1323"/>
      <c r="I128" s="490"/>
    </row>
    <row r="129" spans="1:9" ht="14.4">
      <c r="A129" s="484"/>
      <c r="B129" s="484"/>
      <c r="C129" s="402"/>
      <c r="D129" s="1323"/>
      <c r="E129" s="1323"/>
      <c r="F129" s="1323"/>
      <c r="I129" s="490"/>
    </row>
    <row r="130" spans="1:9">
      <c r="I130" s="490"/>
    </row>
    <row r="131" spans="1:9" ht="14.4">
      <c r="A131" s="484"/>
      <c r="B131" s="485" t="s">
        <v>307</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4">
      <c r="A137" s="484"/>
      <c r="B137" s="485" t="s">
        <v>307</v>
      </c>
      <c r="D137" s="1301" t="s">
        <v>1103</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307</v>
      </c>
      <c r="D151" s="1301" t="s">
        <v>1175</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2070</v>
      </c>
      <c r="E169" s="1320"/>
      <c r="F169" s="1320"/>
      <c r="G169" s="507"/>
      <c r="I169" s="490"/>
    </row>
    <row r="170" spans="1:9" ht="13.65" customHeight="1">
      <c r="D170" s="1318"/>
      <c r="E170" s="1318"/>
      <c r="F170" s="1318"/>
      <c r="G170" s="1318"/>
      <c r="I170" s="490"/>
    </row>
    <row r="171" spans="1:9" ht="14.4" customHeight="1">
      <c r="A171" s="489"/>
      <c r="B171" s="485" t="s">
        <v>307</v>
      </c>
      <c r="C171" s="476"/>
      <c r="D171" s="1272" t="s">
        <v>2209</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307</v>
      </c>
      <c r="C177" s="476"/>
      <c r="D177" s="1272" t="s">
        <v>1104</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307</v>
      </c>
      <c r="D182" s="1313" t="s">
        <v>2048</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307</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307</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307</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4">
      <c r="A210" s="484"/>
      <c r="B210" s="484"/>
      <c r="D210" s="1288" t="s">
        <v>1899</v>
      </c>
      <c r="E210" s="1288"/>
      <c r="F210" s="1288"/>
      <c r="I210" s="490"/>
    </row>
    <row r="211" spans="1:9">
      <c r="D211" s="385"/>
      <c r="E211" s="1325" t="s">
        <v>1925</v>
      </c>
      <c r="F211" s="1325"/>
      <c r="I211" s="490"/>
    </row>
    <row r="212" spans="1:9">
      <c r="D212" s="447"/>
      <c r="I212" s="490"/>
    </row>
    <row r="213" spans="1:9">
      <c r="B213" s="485" t="s">
        <v>307</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ht="14.4">
      <c r="A217" s="484"/>
      <c r="B217" s="485" t="s">
        <v>307</v>
      </c>
      <c r="D217" s="1301" t="s">
        <v>1214</v>
      </c>
      <c r="E217" s="1301"/>
      <c r="F217" s="1301"/>
      <c r="I217" s="490"/>
    </row>
    <row r="218" spans="1:9" ht="14.4" customHeight="1">
      <c r="A218" s="484"/>
      <c r="B218" s="402"/>
      <c r="D218" s="1301"/>
      <c r="E218" s="1301"/>
      <c r="F218" s="1301"/>
      <c r="I218" s="490"/>
    </row>
    <row r="219" spans="1:9" ht="14.4">
      <c r="A219" s="484"/>
      <c r="D219" s="1301"/>
      <c r="E219" s="1301"/>
      <c r="F219" s="1301"/>
      <c r="I219" s="490"/>
    </row>
    <row r="220" spans="1:9" ht="14.4">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65" customHeight="1">
      <c r="A227" s="490"/>
      <c r="C227" s="490"/>
      <c r="D227" s="1309" t="s">
        <v>545</v>
      </c>
      <c r="E227" s="1309"/>
      <c r="F227" s="1309"/>
      <c r="I227" s="490"/>
    </row>
    <row r="228" spans="1:9" ht="14.4">
      <c r="A228" s="484"/>
      <c r="B228" s="485" t="s">
        <v>307</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4">
      <c r="A231" s="484"/>
      <c r="B231" s="484"/>
      <c r="D231" s="1301"/>
      <c r="E231" s="1301"/>
      <c r="F231" s="1301"/>
      <c r="I231" s="490"/>
    </row>
    <row r="232" spans="1:9" ht="14.4">
      <c r="A232" s="484"/>
      <c r="B232" s="484"/>
      <c r="D232" s="445"/>
      <c r="E232" s="445"/>
      <c r="F232" s="445"/>
      <c r="I232" s="490"/>
    </row>
    <row r="233" spans="1:9" ht="14.4">
      <c r="A233" s="484"/>
      <c r="B233" s="485" t="s">
        <v>307</v>
      </c>
      <c r="D233" s="1301" t="s">
        <v>1752</v>
      </c>
      <c r="E233" s="1301"/>
      <c r="F233" s="1301"/>
      <c r="I233" s="490"/>
    </row>
    <row r="234" spans="1:9" ht="14.4">
      <c r="A234" s="484"/>
      <c r="B234" s="484"/>
      <c r="D234" s="1301"/>
      <c r="E234" s="1301"/>
      <c r="F234" s="1301"/>
      <c r="I234" s="490"/>
    </row>
    <row r="235" spans="1:9" ht="14.4">
      <c r="A235" s="484"/>
      <c r="B235" s="484"/>
      <c r="D235" s="1301"/>
      <c r="E235" s="1301"/>
      <c r="F235" s="1301"/>
      <c r="I235" s="490"/>
    </row>
    <row r="236" spans="1:9" ht="14.4">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4">
      <c r="A239" s="484"/>
      <c r="B239" s="484"/>
      <c r="D239" s="1301" t="s">
        <v>1116</v>
      </c>
      <c r="E239" s="1301"/>
      <c r="F239" s="1301"/>
      <c r="I239" s="490"/>
    </row>
    <row r="240" spans="1:9" ht="14.4">
      <c r="A240" s="484"/>
      <c r="B240" s="484"/>
      <c r="D240" s="1301"/>
      <c r="E240" s="1301"/>
      <c r="F240" s="1301"/>
      <c r="I240" s="490"/>
    </row>
    <row r="241" spans="1:9" ht="14.4">
      <c r="A241" s="484"/>
      <c r="B241" s="484"/>
      <c r="D241" s="1301"/>
      <c r="E241" s="1301"/>
      <c r="F241" s="1301"/>
      <c r="I241" s="490"/>
    </row>
    <row r="242" spans="1:9" ht="14.4">
      <c r="A242" s="484"/>
      <c r="B242" s="484"/>
      <c r="D242" s="1301"/>
      <c r="E242" s="1301"/>
      <c r="F242" s="1301"/>
      <c r="I242" s="490"/>
    </row>
    <row r="243" spans="1:9" ht="14.4">
      <c r="A243" s="484"/>
      <c r="B243" s="484"/>
      <c r="D243" s="1301"/>
      <c r="E243" s="1301"/>
      <c r="F243" s="1301"/>
      <c r="I243" s="490"/>
    </row>
    <row r="244" spans="1:9" ht="14.4">
      <c r="A244" s="484"/>
      <c r="B244" s="484"/>
      <c r="D244" s="446"/>
      <c r="E244" s="446"/>
      <c r="F244" s="446"/>
      <c r="I244" s="490"/>
    </row>
    <row r="245" spans="1:9" ht="14.4">
      <c r="A245" s="484"/>
      <c r="B245" s="485" t="s">
        <v>307</v>
      </c>
      <c r="D245" s="1301" t="s">
        <v>2050</v>
      </c>
      <c r="E245" s="1301"/>
      <c r="F245" s="1301"/>
      <c r="I245" s="490"/>
    </row>
    <row r="246" spans="1:9" ht="14.4">
      <c r="A246" s="484"/>
      <c r="B246" s="484"/>
      <c r="D246" s="1301"/>
      <c r="E246" s="1301"/>
      <c r="F246" s="1301"/>
      <c r="I246" s="490"/>
    </row>
    <row r="247" spans="1:9" ht="14.4">
      <c r="A247" s="484"/>
      <c r="B247" s="484"/>
      <c r="D247" s="1301"/>
      <c r="E247" s="1301"/>
      <c r="F247" s="1301"/>
      <c r="I247" s="490"/>
    </row>
    <row r="248" spans="1:9" ht="14.4">
      <c r="A248" s="484"/>
      <c r="B248" s="484"/>
      <c r="E248" s="1036" t="s">
        <v>1893</v>
      </c>
      <c r="I248" s="490"/>
    </row>
    <row r="249" spans="1:9" ht="14.4">
      <c r="A249" s="484"/>
      <c r="B249" s="484"/>
      <c r="D249" s="446"/>
      <c r="E249" s="446"/>
      <c r="F249" s="446"/>
      <c r="I249" s="490"/>
    </row>
    <row r="250" spans="1:9" ht="14.4" customHeight="1">
      <c r="A250" s="484"/>
      <c r="B250" s="485" t="s">
        <v>307</v>
      </c>
      <c r="D250" s="1301" t="s">
        <v>2051</v>
      </c>
      <c r="E250" s="1301"/>
      <c r="F250" s="1301"/>
      <c r="I250" s="490"/>
    </row>
    <row r="251" spans="1:9" ht="14.4">
      <c r="A251" s="484"/>
      <c r="B251" s="484"/>
      <c r="D251" s="1301"/>
      <c r="E251" s="1301"/>
      <c r="F251" s="1301"/>
      <c r="I251" s="490"/>
    </row>
    <row r="252" spans="1:9" ht="14.4">
      <c r="A252" s="484"/>
      <c r="B252" s="484"/>
      <c r="D252" s="1301"/>
      <c r="E252" s="1301"/>
      <c r="F252" s="1301"/>
      <c r="I252" s="490"/>
    </row>
    <row r="253" spans="1:9" ht="14.4">
      <c r="A253" s="484"/>
      <c r="B253" s="484"/>
      <c r="D253" s="1301"/>
      <c r="E253" s="1301"/>
      <c r="F253" s="1301"/>
      <c r="I253" s="490"/>
    </row>
    <row r="254" spans="1:9" ht="14.4">
      <c r="A254" s="484"/>
      <c r="B254" s="484"/>
      <c r="D254" s="1301"/>
      <c r="E254" s="1301"/>
      <c r="F254" s="1301"/>
      <c r="I254" s="490"/>
    </row>
    <row r="255" spans="1:9" ht="14.4">
      <c r="A255" s="484"/>
      <c r="B255" s="484"/>
      <c r="D255" s="445"/>
      <c r="E255" s="445"/>
      <c r="F255" s="445"/>
      <c r="I255" s="490"/>
    </row>
    <row r="256" spans="1:9" ht="14.4">
      <c r="A256" s="484"/>
      <c r="B256" s="485" t="s">
        <v>307</v>
      </c>
      <c r="D256" s="392" t="s">
        <v>2052</v>
      </c>
      <c r="E256" s="445"/>
      <c r="F256" s="445"/>
      <c r="I256" s="490"/>
    </row>
    <row r="257" spans="1:9" ht="14.4">
      <c r="A257" s="484"/>
      <c r="B257" s="484"/>
      <c r="E257" s="1036" t="s">
        <v>1894</v>
      </c>
      <c r="I257" s="490"/>
    </row>
    <row r="258" spans="1:9">
      <c r="D258" s="446"/>
      <c r="E258" s="446"/>
      <c r="F258" s="446"/>
      <c r="I258" s="490"/>
    </row>
    <row r="259" spans="1:9" ht="14.4">
      <c r="A259" s="484"/>
      <c r="B259" s="485" t="s">
        <v>307</v>
      </c>
      <c r="D259" s="1301" t="s">
        <v>1117</v>
      </c>
      <c r="E259" s="1301"/>
      <c r="F259" s="1301"/>
      <c r="I259" s="490"/>
    </row>
    <row r="260" spans="1:9" ht="14.4">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307</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 customHeight="1">
      <c r="A271" s="484"/>
      <c r="B271" s="485" t="s">
        <v>307</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4">
      <c r="A278" s="484"/>
      <c r="B278" s="485" t="s">
        <v>307</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1122</v>
      </c>
      <c r="E288" s="1326"/>
      <c r="F288" s="1326"/>
      <c r="I288" s="490"/>
    </row>
    <row r="289" spans="1:9">
      <c r="E289" s="446"/>
      <c r="F289" s="446"/>
      <c r="I289" s="490"/>
    </row>
    <row r="290" spans="1:9" ht="14.4">
      <c r="A290" s="484"/>
      <c r="B290" s="485" t="s">
        <v>307</v>
      </c>
      <c r="D290" s="1301" t="s">
        <v>1123</v>
      </c>
      <c r="E290" s="1301"/>
      <c r="F290" s="1301"/>
      <c r="I290" s="490"/>
    </row>
    <row r="291" spans="1:9" ht="14.4">
      <c r="A291" s="484"/>
      <c r="B291" s="484"/>
      <c r="D291" s="1301"/>
      <c r="E291" s="1301"/>
      <c r="F291" s="1301"/>
      <c r="I291" s="490"/>
    </row>
    <row r="292" spans="1:9">
      <c r="D292" s="446"/>
      <c r="E292" s="446"/>
      <c r="F292" s="446"/>
      <c r="I292" s="490"/>
    </row>
    <row r="293" spans="1:9" ht="14.4">
      <c r="A293" s="484"/>
      <c r="B293" s="485" t="s">
        <v>307</v>
      </c>
      <c r="D293" s="1301" t="s">
        <v>1124</v>
      </c>
      <c r="E293" s="1301"/>
      <c r="F293" s="1301"/>
      <c r="I293" s="490"/>
    </row>
    <row r="294" spans="1:9" ht="14.4">
      <c r="A294" s="484"/>
      <c r="B294" s="484"/>
      <c r="D294" s="1301"/>
      <c r="E294" s="1301"/>
      <c r="F294" s="1301"/>
      <c r="I294" s="490"/>
    </row>
    <row r="295" spans="1:9" ht="14.4">
      <c r="A295" s="484"/>
      <c r="B295" s="484"/>
      <c r="D295" s="1301"/>
      <c r="E295" s="1301"/>
      <c r="F295" s="1301"/>
      <c r="I295" s="490"/>
    </row>
    <row r="296" spans="1:9">
      <c r="D296" s="446"/>
      <c r="E296" s="446"/>
      <c r="F296" s="446"/>
      <c r="I296" s="490"/>
    </row>
    <row r="297" spans="1:9" ht="14.4">
      <c r="A297" s="484"/>
      <c r="B297" s="485" t="s">
        <v>307</v>
      </c>
      <c r="D297" s="1301" t="s">
        <v>1125</v>
      </c>
      <c r="E297" s="1301"/>
      <c r="F297" s="1301"/>
      <c r="I297" s="490"/>
    </row>
    <row r="298" spans="1:9" ht="14.4">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1126</v>
      </c>
      <c r="E303" s="1299"/>
      <c r="F303" s="1299"/>
      <c r="I303" s="490"/>
    </row>
    <row r="304" spans="1:9">
      <c r="C304" s="490"/>
      <c r="D304" s="493"/>
      <c r="I304" s="490"/>
    </row>
    <row r="305" spans="1:9">
      <c r="B305" s="485" t="s">
        <v>307</v>
      </c>
      <c r="D305" s="1299" t="s">
        <v>1127</v>
      </c>
      <c r="E305" s="1299"/>
      <c r="F305" s="1299"/>
      <c r="I305" s="490"/>
    </row>
    <row r="306" spans="1:9" ht="14.4">
      <c r="A306" s="484"/>
      <c r="B306" s="484"/>
      <c r="D306" s="494"/>
      <c r="E306" s="495"/>
      <c r="F306" s="495"/>
      <c r="I306" s="490"/>
    </row>
    <row r="307" spans="1:9" ht="13.65" customHeight="1">
      <c r="B307" s="485" t="s">
        <v>307</v>
      </c>
      <c r="D307" s="1310" t="s">
        <v>1217</v>
      </c>
      <c r="E307" s="1310"/>
      <c r="F307" s="1310"/>
      <c r="I307" s="490"/>
    </row>
    <row r="308" spans="1:9" ht="14.4">
      <c r="A308" s="484"/>
      <c r="B308" s="484"/>
      <c r="D308" s="1310"/>
      <c r="E308" s="1310"/>
      <c r="F308" s="1310"/>
      <c r="I308" s="490"/>
    </row>
    <row r="309" spans="1:9" ht="14.4">
      <c r="A309" s="484"/>
      <c r="B309" s="484"/>
      <c r="D309" s="1310"/>
      <c r="E309" s="1310"/>
      <c r="F309" s="1310"/>
      <c r="I309" s="490"/>
    </row>
    <row r="310" spans="1:9" ht="14.4">
      <c r="A310" s="484"/>
      <c r="B310" s="484"/>
      <c r="D310" s="1310"/>
      <c r="E310" s="1310"/>
      <c r="F310" s="1310"/>
      <c r="I310" s="490"/>
    </row>
    <row r="311" spans="1:9" ht="14.4">
      <c r="A311" s="484"/>
      <c r="B311" s="484"/>
      <c r="D311" s="1310"/>
      <c r="E311" s="1310"/>
      <c r="F311" s="1310"/>
      <c r="I311" s="490"/>
    </row>
    <row r="312" spans="1:9" ht="14.4">
      <c r="A312" s="484"/>
      <c r="B312" s="484"/>
      <c r="D312" s="494"/>
      <c r="E312" s="495"/>
      <c r="F312" s="495"/>
      <c r="I312" s="490"/>
    </row>
    <row r="313" spans="1:9" ht="13.65" customHeight="1">
      <c r="B313" s="485" t="s">
        <v>307</v>
      </c>
      <c r="D313" s="1310" t="s">
        <v>1128</v>
      </c>
      <c r="E313" s="1310"/>
      <c r="F313" s="1310"/>
      <c r="I313" s="490"/>
    </row>
    <row r="314" spans="1:9">
      <c r="D314" s="1310"/>
      <c r="E314" s="1310"/>
      <c r="F314" s="1310"/>
      <c r="I314" s="490"/>
    </row>
    <row r="315" spans="1:9" ht="14.4">
      <c r="A315" s="484"/>
      <c r="B315" s="484"/>
      <c r="D315" s="494"/>
      <c r="E315" s="495"/>
      <c r="F315" s="495"/>
      <c r="I315" s="490"/>
    </row>
    <row r="316" spans="1:9">
      <c r="B316" s="485" t="s">
        <v>307</v>
      </c>
      <c r="D316" s="1299" t="s">
        <v>1129</v>
      </c>
      <c r="E316" s="1299"/>
      <c r="F316" s="1299"/>
      <c r="I316" s="490"/>
    </row>
    <row r="317" spans="1:9">
      <c r="E317" s="446"/>
      <c r="F317" s="446"/>
      <c r="I317" s="490"/>
    </row>
    <row r="318" spans="1:9" ht="14.4">
      <c r="A318" s="484"/>
      <c r="B318" s="485" t="s">
        <v>307</v>
      </c>
      <c r="D318" s="1301" t="s">
        <v>2241</v>
      </c>
      <c r="E318" s="1301"/>
      <c r="F318" s="1301"/>
      <c r="I318" s="490"/>
    </row>
    <row r="319" spans="1:9" ht="14.4">
      <c r="A319" s="484"/>
      <c r="B319" s="484"/>
      <c r="D319" s="1301"/>
      <c r="E319" s="1301"/>
      <c r="F319" s="1301"/>
      <c r="I319" s="490"/>
    </row>
    <row r="320" spans="1:9" ht="14.4">
      <c r="A320" s="484"/>
      <c r="B320" s="484"/>
      <c r="D320" s="1301"/>
      <c r="E320" s="1301"/>
      <c r="F320" s="1301"/>
      <c r="I320" s="490"/>
    </row>
    <row r="321" spans="1:9" ht="14.4">
      <c r="A321" s="484"/>
      <c r="B321" s="484"/>
      <c r="D321" s="1301"/>
      <c r="E321" s="1301"/>
      <c r="F321" s="1301"/>
      <c r="I321" s="490"/>
    </row>
    <row r="322" spans="1:9" ht="14.4">
      <c r="A322" s="484"/>
      <c r="B322" s="484"/>
      <c r="D322" s="1301"/>
      <c r="E322" s="1301"/>
      <c r="F322" s="1301"/>
      <c r="I322" s="490"/>
    </row>
    <row r="323" spans="1:9" ht="14.4">
      <c r="A323" s="484"/>
      <c r="B323" s="484"/>
      <c r="D323" s="1301"/>
      <c r="E323" s="1301"/>
      <c r="F323" s="1301"/>
      <c r="I323" s="490"/>
    </row>
    <row r="324" spans="1:9" ht="14.4">
      <c r="A324" s="484"/>
      <c r="B324" s="484"/>
      <c r="D324" s="1301"/>
      <c r="E324" s="1301"/>
      <c r="F324" s="1301"/>
      <c r="I324" s="490"/>
    </row>
    <row r="325" spans="1:9" ht="14.4">
      <c r="A325" s="484"/>
      <c r="B325" s="484"/>
      <c r="D325" s="1301"/>
      <c r="E325" s="1301"/>
      <c r="F325" s="1301"/>
      <c r="I325" s="490"/>
    </row>
    <row r="326" spans="1:9" ht="14.4">
      <c r="A326" s="484"/>
      <c r="B326" s="484"/>
      <c r="D326" s="1301"/>
      <c r="E326" s="1301"/>
      <c r="F326" s="1301"/>
      <c r="I326" s="490"/>
    </row>
    <row r="327" spans="1:9" ht="14.4">
      <c r="A327" s="484"/>
      <c r="B327" s="484"/>
      <c r="D327" s="1301"/>
      <c r="E327" s="1301"/>
      <c r="F327" s="1301"/>
      <c r="I327" s="490"/>
    </row>
    <row r="328" spans="1:9" ht="14.4">
      <c r="A328" s="484"/>
      <c r="B328" s="484"/>
      <c r="D328" s="1301"/>
      <c r="E328" s="1301"/>
      <c r="F328" s="1301"/>
      <c r="I328" s="490"/>
    </row>
    <row r="329" spans="1:9" ht="14.4">
      <c r="A329" s="484"/>
      <c r="B329" s="484"/>
      <c r="D329" s="1301"/>
      <c r="E329" s="1301"/>
      <c r="F329" s="1301"/>
      <c r="I329" s="490"/>
    </row>
    <row r="330" spans="1:9" ht="14.4">
      <c r="A330" s="484"/>
      <c r="B330" s="484"/>
      <c r="D330" s="1301"/>
      <c r="E330" s="1301"/>
      <c r="F330" s="1301"/>
      <c r="I330" s="490"/>
    </row>
    <row r="331" spans="1:9" ht="14.4">
      <c r="A331" s="484"/>
      <c r="B331" s="484"/>
      <c r="D331" s="1301"/>
      <c r="E331" s="1301"/>
      <c r="F331" s="1301"/>
      <c r="I331" s="490"/>
    </row>
    <row r="332" spans="1:9" ht="14.4">
      <c r="A332" s="484"/>
      <c r="B332" s="484"/>
      <c r="D332" s="1301"/>
      <c r="E332" s="1301"/>
      <c r="F332" s="1301"/>
      <c r="I332" s="490"/>
    </row>
    <row r="333" spans="1:9">
      <c r="D333" s="446"/>
      <c r="E333" s="446"/>
      <c r="F333" s="446"/>
      <c r="I333" s="490"/>
    </row>
    <row r="334" spans="1:9" ht="14.4">
      <c r="A334" s="484"/>
      <c r="B334" s="485" t="s">
        <v>307</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8" thickBot="1">
      <c r="A351" s="1022"/>
      <c r="B351" s="1022"/>
      <c r="C351" s="1022"/>
      <c r="D351" s="1329" t="s">
        <v>977</v>
      </c>
      <c r="E351" s="1329"/>
      <c r="F351" s="1329"/>
      <c r="G351" s="1027"/>
      <c r="H351" s="1027"/>
      <c r="I351" s="1156"/>
    </row>
    <row r="352" spans="1:9" ht="13.8" thickTop="1">
      <c r="D352" s="1328" t="s">
        <v>2242</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307</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ht="14.4">
      <c r="A360" s="484"/>
      <c r="B360" s="485" t="s">
        <v>307</v>
      </c>
      <c r="C360" s="476"/>
      <c r="D360" s="1318" t="s">
        <v>2054</v>
      </c>
      <c r="E360" s="1318"/>
      <c r="F360" s="1318"/>
      <c r="I360" s="480"/>
    </row>
    <row r="361" spans="1:9">
      <c r="A361" s="476"/>
      <c r="B361" s="476"/>
      <c r="C361" s="476"/>
      <c r="D361" s="447"/>
      <c r="E361" s="447"/>
      <c r="F361" s="446"/>
      <c r="I361" s="490"/>
    </row>
    <row r="362" spans="1:9">
      <c r="A362" s="476"/>
      <c r="B362" s="485" t="s">
        <v>307</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4">
      <c r="A387" s="484"/>
      <c r="B387" s="485" t="s">
        <v>307</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307</v>
      </c>
      <c r="D423" s="1272" t="s">
        <v>1879</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307</v>
      </c>
      <c r="C429" s="476"/>
      <c r="D429" s="1272" t="s">
        <v>1238</v>
      </c>
      <c r="E429" s="1272"/>
      <c r="F429" s="1272"/>
      <c r="I429" s="490"/>
    </row>
    <row r="430" spans="1:9" ht="14.4">
      <c r="A430" s="497"/>
      <c r="B430" s="497"/>
      <c r="C430" s="476"/>
      <c r="D430" s="1272"/>
      <c r="E430" s="1272"/>
      <c r="F430" s="1272"/>
      <c r="I430" s="490"/>
    </row>
    <row r="431" spans="1:9" ht="14.4">
      <c r="A431" s="497"/>
      <c r="B431" s="497"/>
      <c r="C431" s="476"/>
      <c r="D431" s="1272"/>
      <c r="E431" s="1272"/>
      <c r="F431" s="1272"/>
      <c r="I431" s="490"/>
    </row>
    <row r="432" spans="1:9" ht="14.4">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ht="14.4">
      <c r="A435" s="484"/>
      <c r="B435" s="485" t="s">
        <v>307</v>
      </c>
      <c r="C435" s="487"/>
      <c r="D435" s="1301" t="s">
        <v>2056</v>
      </c>
      <c r="E435" s="1301"/>
      <c r="F435" s="1301"/>
      <c r="I435" s="490"/>
    </row>
    <row r="436" spans="1:9" ht="14.4">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ht="14.4">
      <c r="A467" s="484"/>
      <c r="B467" s="485" t="s">
        <v>307</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4">
      <c r="B471" s="485" t="s">
        <v>307</v>
      </c>
      <c r="C471" s="484"/>
      <c r="D471" s="1301" t="s">
        <v>1195</v>
      </c>
      <c r="E471" s="1301"/>
      <c r="F471" s="1301"/>
      <c r="I471" s="490"/>
    </row>
    <row r="472" spans="1:9">
      <c r="D472" s="1301"/>
      <c r="E472" s="1301"/>
      <c r="F472" s="1301"/>
      <c r="I472" s="490"/>
    </row>
    <row r="473" spans="1:9">
      <c r="D473" s="446"/>
      <c r="E473" s="446"/>
      <c r="F473" s="446"/>
      <c r="I473" s="490"/>
    </row>
    <row r="474" spans="1:9" ht="14.4">
      <c r="B474" s="485" t="s">
        <v>307</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4">
      <c r="A499" s="484"/>
      <c r="B499" s="484"/>
      <c r="D499" s="1318" t="s">
        <v>1139</v>
      </c>
      <c r="E499" s="1318"/>
      <c r="F499" s="1318"/>
      <c r="I499" s="490"/>
    </row>
    <row r="500" spans="1:9" ht="14.4">
      <c r="A500" s="484"/>
      <c r="B500" s="484"/>
      <c r="D500" s="447"/>
      <c r="I500" s="490"/>
    </row>
    <row r="501" spans="1:9" ht="14.4">
      <c r="A501" s="484"/>
      <c r="B501" s="485" t="s">
        <v>307</v>
      </c>
      <c r="D501" s="1272" t="s">
        <v>1140</v>
      </c>
      <c r="E501" s="1272"/>
      <c r="F501" s="1272"/>
      <c r="I501" s="490"/>
    </row>
    <row r="502" spans="1:9" ht="14.4">
      <c r="A502" s="484"/>
      <c r="B502" s="484"/>
      <c r="D502" s="1272"/>
      <c r="E502" s="1272"/>
      <c r="F502" s="1272"/>
      <c r="I502" s="490"/>
    </row>
    <row r="503" spans="1:9" ht="14.4">
      <c r="A503" s="484"/>
      <c r="B503" s="484"/>
      <c r="D503" s="446"/>
      <c r="I503" s="490"/>
    </row>
    <row r="504" spans="1:9" ht="12.75" customHeight="1">
      <c r="B504" s="485" t="s">
        <v>307</v>
      </c>
      <c r="D504" s="1313" t="s">
        <v>1271</v>
      </c>
      <c r="E504" s="1313"/>
      <c r="F504" s="1313"/>
      <c r="I504" s="490"/>
    </row>
    <row r="505" spans="1:9" ht="14.4">
      <c r="A505" s="484"/>
      <c r="D505" s="1313"/>
      <c r="E505" s="1313"/>
      <c r="F505" s="1313"/>
      <c r="I505" s="490"/>
    </row>
    <row r="506" spans="1:9" ht="14.4">
      <c r="A506" s="484"/>
      <c r="B506" s="484"/>
      <c r="D506" s="1313"/>
      <c r="E506" s="1313"/>
      <c r="F506" s="1313"/>
      <c r="I506" s="490"/>
    </row>
    <row r="507" spans="1:9" ht="14.4">
      <c r="A507" s="484"/>
      <c r="B507" s="484"/>
      <c r="D507" s="1313"/>
      <c r="E507" s="1313"/>
      <c r="F507" s="1313"/>
      <c r="I507" s="490"/>
    </row>
    <row r="508" spans="1:9" ht="14.4">
      <c r="A508" s="484"/>
      <c r="D508" s="520"/>
      <c r="E508" s="520"/>
      <c r="F508" s="520"/>
      <c r="I508" s="490"/>
    </row>
    <row r="509" spans="1:9" ht="14.4">
      <c r="A509" s="484"/>
      <c r="B509" s="485" t="s">
        <v>307</v>
      </c>
      <c r="D509" s="1299" t="s">
        <v>1141</v>
      </c>
      <c r="E509" s="1299"/>
      <c r="F509" s="1299"/>
      <c r="I509" s="490"/>
    </row>
    <row r="510" spans="1:9" ht="14.4">
      <c r="A510" s="484"/>
      <c r="B510" s="484"/>
      <c r="D510" s="446"/>
      <c r="I510" s="490"/>
    </row>
    <row r="511" spans="1:9" ht="14.4">
      <c r="A511" s="484"/>
      <c r="B511" s="485" t="s">
        <v>307</v>
      </c>
      <c r="D511" s="1301" t="s">
        <v>1142</v>
      </c>
      <c r="E511" s="1301"/>
      <c r="F511" s="1301"/>
      <c r="I511" s="490"/>
    </row>
    <row r="512" spans="1:9" ht="14.4">
      <c r="A512" s="484"/>
      <c r="D512" s="1301"/>
      <c r="E512" s="1301"/>
      <c r="F512" s="1301"/>
      <c r="I512" s="490"/>
    </row>
    <row r="513" spans="1:9">
      <c r="A513" s="490"/>
      <c r="B513" s="490"/>
      <c r="D513" s="447"/>
      <c r="I513" s="490"/>
    </row>
    <row r="514" spans="1:9">
      <c r="A514" s="490"/>
      <c r="B514" s="485" t="s">
        <v>307</v>
      </c>
      <c r="D514" s="1299" t="s">
        <v>1143</v>
      </c>
      <c r="E514" s="1299"/>
      <c r="F514" s="1299"/>
      <c r="I514" s="490"/>
    </row>
    <row r="515" spans="1:9">
      <c r="D515" s="446"/>
      <c r="E515" s="446"/>
      <c r="F515" s="446"/>
      <c r="I515" s="490"/>
    </row>
    <row r="516" spans="1:9">
      <c r="B516" s="485" t="s">
        <v>307</v>
      </c>
      <c r="D516" s="1301" t="s">
        <v>2276</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4">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307</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1079</v>
      </c>
      <c r="E546" s="1299"/>
      <c r="F546" s="1299"/>
      <c r="I546" s="490"/>
    </row>
    <row r="547" spans="1:9">
      <c r="C547" s="487"/>
      <c r="D547" s="446"/>
      <c r="E547" s="446"/>
      <c r="F547" s="446"/>
      <c r="I547" s="490"/>
    </row>
    <row r="548" spans="1:9" ht="13.65" customHeight="1">
      <c r="A548" s="484"/>
      <c r="B548" s="485" t="s">
        <v>307</v>
      </c>
      <c r="C548" s="487"/>
      <c r="D548" s="1299" t="s">
        <v>883</v>
      </c>
      <c r="E548" s="1299"/>
      <c r="F548" s="1299"/>
      <c r="I548" s="490"/>
    </row>
    <row r="549" spans="1:9" ht="13.65" customHeight="1">
      <c r="A549" s="487"/>
      <c r="B549" s="487"/>
      <c r="C549" s="487"/>
      <c r="D549" s="446"/>
      <c r="I549" s="490"/>
    </row>
    <row r="550" spans="1:9" ht="14.4">
      <c r="A550" s="484"/>
      <c r="B550" s="485" t="s">
        <v>307</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4">
      <c r="A553" s="484"/>
      <c r="B553" s="485" t="s">
        <v>307</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4">
      <c r="A556" s="484"/>
      <c r="B556" s="485" t="s">
        <v>307</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4">
      <c r="A559" s="484"/>
      <c r="B559" s="485" t="s">
        <v>307</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4">
      <c r="A563" s="484"/>
      <c r="B563" s="485" t="s">
        <v>307</v>
      </c>
      <c r="C563" s="487"/>
      <c r="D563" s="1301" t="s">
        <v>2243</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4">
      <c r="A566" s="484"/>
      <c r="B566" s="485" t="s">
        <v>307</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4">
      <c r="A569" s="484"/>
      <c r="B569" s="485" t="s">
        <v>307</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ht="14.4">
      <c r="A572" s="484"/>
      <c r="B572" s="484"/>
      <c r="C572" s="487"/>
      <c r="E572" s="446"/>
      <c r="F572" s="446"/>
      <c r="I572" s="490"/>
    </row>
    <row r="573" spans="1:9" ht="14.4">
      <c r="A573" s="484"/>
      <c r="B573" s="485" t="s">
        <v>307</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4">
      <c r="A578" s="484"/>
      <c r="B578" s="485" t="s">
        <v>307</v>
      </c>
      <c r="C578" s="487"/>
      <c r="D578" s="1301" t="s">
        <v>2060</v>
      </c>
      <c r="E578" s="1301"/>
      <c r="F578" s="1301"/>
      <c r="I578" s="490"/>
    </row>
    <row r="579" spans="1:9" ht="14.4">
      <c r="A579" s="484"/>
      <c r="B579" s="484"/>
      <c r="C579" s="487"/>
      <c r="D579" s="1301"/>
      <c r="E579" s="1301"/>
      <c r="F579" s="1301"/>
      <c r="I579" s="490"/>
    </row>
    <row r="580" spans="1:9" ht="14.4">
      <c r="A580" s="484"/>
      <c r="B580" s="484"/>
      <c r="C580" s="487"/>
      <c r="D580" s="1301"/>
      <c r="E580" s="1301"/>
      <c r="F580" s="1301"/>
      <c r="I580" s="490"/>
    </row>
    <row r="581" spans="1:9" ht="14.4">
      <c r="A581" s="484"/>
      <c r="B581" s="484"/>
      <c r="C581" s="487"/>
      <c r="D581" s="1301"/>
      <c r="E581" s="1301"/>
      <c r="F581" s="1301"/>
      <c r="I581" s="490"/>
    </row>
    <row r="582" spans="1:9" ht="14.4">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1067</v>
      </c>
      <c r="E602" s="1313"/>
      <c r="F602" s="1313"/>
      <c r="I602" s="490"/>
    </row>
    <row r="603" spans="1:9">
      <c r="A603" s="490"/>
      <c r="B603" s="490"/>
      <c r="D603" s="1313"/>
      <c r="E603" s="1313"/>
      <c r="F603" s="1313"/>
      <c r="I603" s="490"/>
    </row>
    <row r="604" spans="1:9" ht="14.4">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307</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307</v>
      </c>
      <c r="D620" s="1307" t="s">
        <v>1109</v>
      </c>
      <c r="E620" s="1307"/>
      <c r="F620" s="1307"/>
      <c r="I620" s="490"/>
    </row>
    <row r="621" spans="1:9">
      <c r="D621" s="1307"/>
      <c r="E621" s="1307"/>
      <c r="F621" s="1307"/>
      <c r="I621" s="490"/>
    </row>
    <row r="622" spans="1:9">
      <c r="I622" s="490"/>
    </row>
    <row r="623" spans="1:9">
      <c r="B623" s="485" t="s">
        <v>307</v>
      </c>
      <c r="D623" s="1307" t="s">
        <v>1110</v>
      </c>
      <c r="E623" s="1307"/>
      <c r="F623" s="1307"/>
      <c r="I623" s="490"/>
    </row>
    <row r="624" spans="1:9">
      <c r="C624" s="500"/>
      <c r="D624" s="1307"/>
      <c r="E624" s="1307"/>
      <c r="F624" s="1307"/>
      <c r="I624" s="490"/>
    </row>
    <row r="625" spans="1:9">
      <c r="C625" s="500"/>
      <c r="I625" s="490"/>
    </row>
    <row r="626" spans="1:9">
      <c r="B626" s="485" t="s">
        <v>307</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307</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4">
      <c r="A640" s="484"/>
      <c r="B640" s="485" t="s">
        <v>307</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4">
      <c r="A643" s="484"/>
      <c r="B643" s="485" t="s">
        <v>307</v>
      </c>
      <c r="C643" s="487"/>
      <c r="D643" s="1301" t="s">
        <v>1223</v>
      </c>
      <c r="E643" s="1301"/>
      <c r="F643" s="1301"/>
      <c r="I643" s="490"/>
    </row>
    <row r="644" spans="1:9" ht="14.4">
      <c r="A644" s="484"/>
      <c r="B644" s="484"/>
      <c r="C644" s="487"/>
      <c r="D644" s="1301"/>
      <c r="E644" s="1301"/>
      <c r="F644" s="1301"/>
      <c r="I644" s="490"/>
    </row>
    <row r="645" spans="1:9" ht="14.4">
      <c r="A645" s="484"/>
      <c r="B645" s="484"/>
      <c r="C645" s="487"/>
      <c r="D645" s="1301"/>
      <c r="E645" s="1301"/>
      <c r="F645" s="1301"/>
      <c r="I645" s="490"/>
    </row>
    <row r="646" spans="1:9">
      <c r="A646" s="487"/>
      <c r="B646" s="485" t="s">
        <v>307</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307</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307</v>
      </c>
      <c r="C658" s="487"/>
      <c r="D658" s="1301" t="s">
        <v>1281</v>
      </c>
      <c r="E658" s="1301"/>
      <c r="F658" s="1301"/>
      <c r="I658" s="490"/>
    </row>
    <row r="659" spans="1:9" ht="14.4">
      <c r="A659" s="483"/>
      <c r="B659" s="484"/>
      <c r="C659" s="487"/>
      <c r="D659" s="1301"/>
      <c r="E659" s="1301"/>
      <c r="F659" s="1301"/>
      <c r="I659" s="490"/>
    </row>
    <row r="660" spans="1:9" ht="14.4">
      <c r="A660" s="483"/>
      <c r="B660" s="484"/>
      <c r="C660" s="487"/>
      <c r="D660" s="1301"/>
      <c r="E660" s="1301"/>
      <c r="F660" s="1301"/>
      <c r="I660" s="490"/>
    </row>
    <row r="661" spans="1:9" ht="14.4">
      <c r="A661" s="483"/>
      <c r="B661" s="484"/>
      <c r="C661" s="487"/>
      <c r="D661" s="1301"/>
      <c r="E661" s="1301"/>
      <c r="F661" s="1301"/>
      <c r="I661" s="490"/>
    </row>
    <row r="662" spans="1:9" ht="14.4">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1280</v>
      </c>
      <c r="E664" s="1301"/>
      <c r="F664" s="1301"/>
      <c r="I664" s="490"/>
    </row>
    <row r="665" spans="1:9" ht="14.4">
      <c r="A665" s="483"/>
      <c r="B665" s="484"/>
      <c r="C665" s="487"/>
      <c r="D665" s="1301"/>
      <c r="E665" s="1301"/>
      <c r="F665" s="1301"/>
      <c r="I665" s="490"/>
    </row>
    <row r="666" spans="1:9" ht="14.4">
      <c r="A666" s="484"/>
      <c r="B666" s="484"/>
      <c r="C666" s="487"/>
      <c r="D666" s="1301"/>
      <c r="E666" s="1301"/>
      <c r="F666" s="1301"/>
      <c r="I666" s="490"/>
    </row>
    <row r="667" spans="1:9" ht="14.4">
      <c r="A667" s="484"/>
      <c r="B667" s="484"/>
      <c r="C667" s="487"/>
      <c r="D667" s="1301"/>
      <c r="E667" s="1301"/>
      <c r="F667" s="1301"/>
      <c r="I667" s="490"/>
    </row>
    <row r="668" spans="1:9" ht="14.4">
      <c r="A668" s="484"/>
      <c r="B668" s="484"/>
      <c r="C668" s="487"/>
      <c r="D668" s="445"/>
      <c r="E668" s="445"/>
      <c r="F668" s="445"/>
      <c r="I668" s="490"/>
    </row>
    <row r="669" spans="1:9" ht="12.75" customHeight="1">
      <c r="A669" s="483"/>
      <c r="B669" s="485" t="s">
        <v>307</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ht="14.4">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4">
      <c r="A690" s="484"/>
      <c r="B690" s="485" t="s">
        <v>307</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4">
      <c r="A694" s="484"/>
      <c r="B694" s="485" t="s">
        <v>307</v>
      </c>
      <c r="C694" s="483"/>
      <c r="D694" s="1299" t="s">
        <v>916</v>
      </c>
      <c r="E694" s="1299"/>
      <c r="F694" s="1299"/>
      <c r="H694" s="501"/>
      <c r="I694" s="483"/>
      <c r="J694" s="501"/>
      <c r="K694" s="501"/>
    </row>
    <row r="695" spans="1:11" ht="14.4">
      <c r="A695" s="484"/>
      <c r="B695" s="484"/>
      <c r="C695" s="483"/>
      <c r="D695" s="1299" t="s">
        <v>893</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4">
      <c r="A698" s="484"/>
      <c r="B698" s="485" t="s">
        <v>307</v>
      </c>
      <c r="C698" s="483"/>
      <c r="D698" s="1299" t="s">
        <v>2465</v>
      </c>
      <c r="E698" s="1299"/>
      <c r="F698" s="1299"/>
      <c r="H698" s="501"/>
      <c r="I698" s="483"/>
      <c r="J698" s="501"/>
      <c r="K698" s="501"/>
    </row>
    <row r="699" spans="1:11" ht="14.4">
      <c r="A699" s="484"/>
      <c r="B699" s="484"/>
      <c r="C699" s="483"/>
      <c r="D699" s="1299" t="s">
        <v>893</v>
      </c>
      <c r="E699" s="1299"/>
      <c r="F699" s="1299"/>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4">
      <c r="A702" s="484"/>
      <c r="B702" s="485" t="s">
        <v>307</v>
      </c>
      <c r="C702" s="483"/>
      <c r="D702" s="1301" t="s">
        <v>2240</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4">
      <c r="A712" s="484"/>
      <c r="B712" s="485" t="s">
        <v>307</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2458</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2457</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2456</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4">
      <c r="A738" s="484"/>
      <c r="B738" s="485" t="s">
        <v>307</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4">
      <c r="A744" s="484"/>
      <c r="B744" s="485" t="s">
        <v>307</v>
      </c>
      <c r="C744" s="483"/>
      <c r="D744" s="1301" t="s">
        <v>2142</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ht="14.4">
      <c r="A758" s="484"/>
      <c r="B758" s="485" t="s">
        <v>307</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4">
      <c r="A765" s="503"/>
      <c r="B765" s="485" t="s">
        <v>307</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4">
      <c r="A770" s="484"/>
      <c r="B770" s="485" t="s">
        <v>307</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4">
      <c r="A774" s="484"/>
      <c r="B774" s="485" t="s">
        <v>307</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307</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4">
      <c r="A794" s="175"/>
      <c r="B794" s="485" t="s">
        <v>307</v>
      </c>
      <c r="C794" s="989"/>
      <c r="D794" s="1294" t="s">
        <v>1756</v>
      </c>
      <c r="E794" s="1294"/>
      <c r="F794" s="1294"/>
      <c r="G794" s="988"/>
      <c r="I794" s="483"/>
    </row>
    <row r="795" spans="1:9" ht="14.4">
      <c r="A795" s="175"/>
      <c r="B795" s="175"/>
      <c r="C795" s="989"/>
      <c r="D795" s="1294"/>
      <c r="E795" s="1294"/>
      <c r="F795" s="1294"/>
      <c r="G795" s="988"/>
      <c r="I795" s="490"/>
    </row>
    <row r="796" spans="1:9" ht="14.4">
      <c r="A796" s="175"/>
      <c r="B796" s="175"/>
      <c r="C796" s="989"/>
      <c r="D796" s="1294"/>
      <c r="E796" s="1294"/>
      <c r="F796" s="1294"/>
      <c r="G796" s="988"/>
      <c r="I796" s="490"/>
    </row>
    <row r="797" spans="1:9" ht="14.4">
      <c r="A797" s="175"/>
      <c r="B797" s="175"/>
      <c r="C797" s="989"/>
      <c r="D797" s="118"/>
      <c r="E797" s="3"/>
      <c r="F797" s="3"/>
      <c r="G797" s="988"/>
      <c r="I797" s="490"/>
    </row>
    <row r="798" spans="1:9" ht="14.4">
      <c r="A798" s="175"/>
      <c r="B798" s="485" t="s">
        <v>307</v>
      </c>
      <c r="C798" s="989"/>
      <c r="D798" s="1294" t="s">
        <v>1757</v>
      </c>
      <c r="E798" s="1294"/>
      <c r="F798" s="1294"/>
      <c r="G798" s="988"/>
      <c r="I798" s="483"/>
    </row>
    <row r="799" spans="1:9" ht="14.4">
      <c r="A799" s="175"/>
      <c r="B799" s="175"/>
      <c r="C799" s="989"/>
      <c r="D799" s="1294"/>
      <c r="E799" s="1294"/>
      <c r="F799" s="1294"/>
      <c r="G799" s="988"/>
      <c r="I799" s="490"/>
    </row>
    <row r="800" spans="1:9" ht="14.4">
      <c r="A800" s="175"/>
      <c r="B800" s="175"/>
      <c r="C800" s="989"/>
      <c r="D800" s="1294"/>
      <c r="E800" s="1294"/>
      <c r="F800" s="1294"/>
      <c r="G800" s="988"/>
      <c r="I800" s="490"/>
    </row>
    <row r="801" spans="1:9" ht="14.4">
      <c r="A801" s="175"/>
      <c r="B801" s="175"/>
      <c r="C801" s="989"/>
      <c r="D801" s="1294"/>
      <c r="E801" s="1294"/>
      <c r="F801" s="1294"/>
      <c r="G801" s="988"/>
      <c r="I801" s="490"/>
    </row>
    <row r="802" spans="1:9" ht="14.4">
      <c r="A802" s="175"/>
      <c r="B802" s="175"/>
      <c r="C802" s="989"/>
      <c r="D802" s="1294"/>
      <c r="E802" s="1294"/>
      <c r="F802" s="1294"/>
      <c r="G802" s="988"/>
      <c r="I802" s="490"/>
    </row>
    <row r="803" spans="1:9" ht="14.4">
      <c r="A803" s="175"/>
      <c r="B803" s="175"/>
      <c r="C803" s="989"/>
      <c r="D803" s="1294"/>
      <c r="E803" s="1294"/>
      <c r="F803" s="1294"/>
      <c r="G803" s="988"/>
      <c r="I803" s="490"/>
    </row>
    <row r="804" spans="1:9" ht="14.4">
      <c r="A804" s="175"/>
      <c r="B804" s="175"/>
      <c r="C804" s="989"/>
      <c r="D804" s="1294" t="s">
        <v>1800</v>
      </c>
      <c r="E804" s="1294"/>
      <c r="F804" s="1294"/>
      <c r="G804" s="988"/>
      <c r="I804" s="490"/>
    </row>
    <row r="805" spans="1:9" ht="14.4">
      <c r="A805" s="175"/>
      <c r="B805" s="175"/>
      <c r="C805" s="989"/>
      <c r="D805" s="1294"/>
      <c r="E805" s="1294"/>
      <c r="F805" s="1294"/>
      <c r="G805" s="988"/>
      <c r="I805" s="490"/>
    </row>
    <row r="806" spans="1:9" ht="14.4">
      <c r="A806" s="175"/>
      <c r="B806" s="175"/>
      <c r="C806" s="989"/>
      <c r="D806" s="1294"/>
      <c r="E806" s="1294"/>
      <c r="F806" s="1294"/>
      <c r="G806" s="988"/>
      <c r="I806" s="490"/>
    </row>
    <row r="807" spans="1:9" ht="14.4">
      <c r="A807" s="175"/>
      <c r="B807" s="354"/>
      <c r="C807" s="989"/>
      <c r="D807" s="990"/>
      <c r="E807" s="990"/>
      <c r="F807" s="990"/>
      <c r="G807" s="988"/>
      <c r="I807" s="490"/>
    </row>
    <row r="808" spans="1:9" ht="14.4">
      <c r="A808" s="175"/>
      <c r="B808" s="485" t="s">
        <v>307</v>
      </c>
      <c r="C808" s="989"/>
      <c r="D808" s="1294" t="s">
        <v>1758</v>
      </c>
      <c r="E808" s="1294"/>
      <c r="F808" s="1294"/>
      <c r="G808" s="988"/>
      <c r="I808" s="483"/>
    </row>
    <row r="809" spans="1:9" ht="14.4">
      <c r="A809" s="175"/>
      <c r="B809" s="175"/>
      <c r="C809" s="989"/>
      <c r="D809" s="1294"/>
      <c r="E809" s="1294"/>
      <c r="F809" s="1294"/>
      <c r="G809" s="988"/>
      <c r="I809" s="490"/>
    </row>
    <row r="810" spans="1:9" ht="14.4">
      <c r="A810" s="175"/>
      <c r="B810" s="175"/>
      <c r="C810" s="989"/>
      <c r="D810" s="1294"/>
      <c r="E810" s="1294"/>
      <c r="F810" s="1294"/>
      <c r="G810" s="988"/>
      <c r="I810" s="490"/>
    </row>
    <row r="811" spans="1:9" ht="14.4">
      <c r="A811" s="175"/>
      <c r="B811" s="175"/>
      <c r="C811" s="989"/>
      <c r="D811" s="1294"/>
      <c r="E811" s="1294"/>
      <c r="F811" s="1294"/>
      <c r="G811" s="988"/>
      <c r="I811" s="490"/>
    </row>
    <row r="812" spans="1:9" ht="14.4">
      <c r="A812" s="175"/>
      <c r="B812" s="175"/>
      <c r="C812" s="989"/>
      <c r="D812" s="1294"/>
      <c r="E812" s="1294"/>
      <c r="F812" s="1294"/>
      <c r="G812" s="988"/>
      <c r="I812" s="490"/>
    </row>
    <row r="813" spans="1:9" ht="14.4">
      <c r="A813" s="175"/>
      <c r="B813" s="175"/>
      <c r="C813" s="989"/>
      <c r="D813" s="1294"/>
      <c r="E813" s="1294"/>
      <c r="F813" s="1294"/>
      <c r="G813" s="988"/>
      <c r="I813" s="490"/>
    </row>
    <row r="814" spans="1:9" ht="14.4">
      <c r="A814" s="175"/>
      <c r="B814" s="175"/>
      <c r="C814" s="989"/>
      <c r="D814" s="982"/>
      <c r="E814" s="982"/>
      <c r="F814" s="982"/>
      <c r="G814" s="988"/>
      <c r="I814" s="490"/>
    </row>
    <row r="815" spans="1:9" ht="14.4">
      <c r="A815" s="175"/>
      <c r="B815" s="485" t="s">
        <v>307</v>
      </c>
      <c r="C815" s="989"/>
      <c r="D815" s="1294" t="s">
        <v>1759</v>
      </c>
      <c r="E815" s="1294"/>
      <c r="F815" s="1294"/>
      <c r="G815" s="988"/>
      <c r="I815" s="483"/>
    </row>
    <row r="816" spans="1:9" ht="14.4">
      <c r="A816" s="175"/>
      <c r="B816" s="175"/>
      <c r="C816" s="989"/>
      <c r="D816" s="1294"/>
      <c r="E816" s="1294"/>
      <c r="F816" s="1294"/>
      <c r="G816" s="988"/>
      <c r="I816" s="490"/>
    </row>
    <row r="817" spans="1:9" ht="14.4">
      <c r="A817" s="175"/>
      <c r="B817" s="175"/>
      <c r="C817" s="989"/>
      <c r="D817" s="1294"/>
      <c r="E817" s="1294"/>
      <c r="F817" s="1294"/>
      <c r="G817" s="988"/>
      <c r="I817" s="490"/>
    </row>
    <row r="818" spans="1:9" ht="14.4">
      <c r="A818" s="175"/>
      <c r="B818" s="175"/>
      <c r="C818" s="989"/>
      <c r="D818" s="1294"/>
      <c r="E818" s="1294"/>
      <c r="F818" s="1294"/>
      <c r="G818" s="988"/>
      <c r="I818" s="490"/>
    </row>
    <row r="819" spans="1:9" ht="14.4">
      <c r="A819" s="175"/>
      <c r="B819" s="175"/>
      <c r="C819" s="989"/>
      <c r="D819" s="1294"/>
      <c r="E819" s="1294"/>
      <c r="F819" s="1294"/>
      <c r="G819" s="988"/>
      <c r="I819" s="490"/>
    </row>
    <row r="820" spans="1:9" ht="14.4">
      <c r="A820" s="175"/>
      <c r="B820" s="175"/>
      <c r="C820" s="989"/>
      <c r="D820" s="1294"/>
      <c r="E820" s="1294"/>
      <c r="F820" s="1294"/>
      <c r="G820" s="988"/>
      <c r="I820" s="490"/>
    </row>
    <row r="821" spans="1:9" ht="14.4">
      <c r="A821" s="175"/>
      <c r="B821" s="175"/>
      <c r="C821" s="989"/>
      <c r="D821" s="982"/>
      <c r="E821" s="982"/>
      <c r="F821" s="982"/>
      <c r="G821" s="988"/>
      <c r="I821" s="490"/>
    </row>
    <row r="822" spans="1:9" ht="14.4">
      <c r="A822" s="175"/>
      <c r="B822" s="485" t="s">
        <v>307</v>
      </c>
      <c r="C822" s="989"/>
      <c r="D822" s="1289" t="s">
        <v>1760</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2134</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307</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307</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2226</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307</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307</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2244</v>
      </c>
      <c r="E1045" s="1287"/>
      <c r="F1045" s="1287"/>
      <c r="G1045" s="98"/>
      <c r="I1045" s="490"/>
    </row>
    <row r="1046" spans="1:9" ht="12.75" customHeight="1">
      <c r="A1046" s="175"/>
      <c r="B1046" s="485" t="s">
        <v>307</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2140</v>
      </c>
      <c r="E1103" s="1262"/>
      <c r="F1103" s="1262"/>
      <c r="I1103" s="490"/>
    </row>
    <row r="1104" spans="1:9">
      <c r="A1104" s="402"/>
      <c r="B1104" s="402"/>
      <c r="C1104" s="402"/>
      <c r="D1104" s="527"/>
      <c r="I1104" s="490"/>
    </row>
    <row r="1105" spans="1:9">
      <c r="A1105" s="402"/>
      <c r="B1105" s="485" t="s">
        <v>307</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48" zoomScale="115" zoomScaleNormal="100" workbookViewId="0">
      <selection activeCell="V294" sqref="V294"/>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2493</v>
      </c>
      <c r="BE1" s="3"/>
      <c r="BF1" s="3"/>
    </row>
    <row r="2" spans="1:58" ht="12.9" customHeight="1">
      <c r="BD2" s="3" t="s">
        <v>2494</v>
      </c>
      <c r="BE2" s="3" t="s">
        <v>2495</v>
      </c>
      <c r="BF2" s="3" t="s">
        <v>2496</v>
      </c>
    </row>
    <row r="3" spans="1:58" ht="12.9" customHeight="1">
      <c r="BD3" s="3" t="s">
        <v>2591</v>
      </c>
      <c r="BE3" t="str">
        <f>AC220</f>
        <v>Bay Area ((Alameda, Contra Costa, Marin, San Francisco, San Mateo, Santa Clara, and Santa Cruz Counties)</v>
      </c>
    </row>
    <row r="4" spans="1:58" ht="12.9" customHeight="1">
      <c r="BD4" s="3" t="s">
        <v>2503</v>
      </c>
      <c r="BE4" s="1246"/>
    </row>
    <row r="5" spans="1:58" ht="12.9" customHeight="1">
      <c r="BD5" s="3" t="s">
        <v>2504</v>
      </c>
      <c r="BE5">
        <f>SUMIF($AC$718:$AC$752,"&lt;=20%",$G$718:G$752)</f>
        <v>0</v>
      </c>
      <c r="BF5" s="3" t="s">
        <v>2509</v>
      </c>
    </row>
    <row r="6" spans="1:58" ht="12.9" customHeight="1">
      <c r="BD6" s="3" t="s">
        <v>2505</v>
      </c>
      <c r="BE6" s="1249">
        <f>SUMIF($AC$718:$AC$752,"&lt;=25%",$G$718:G$752)-SUM($BE$5:BE5)</f>
        <v>0</v>
      </c>
    </row>
    <row r="7" spans="1:58" ht="12.9" customHeight="1">
      <c r="BD7" s="1247" t="s">
        <v>2497</v>
      </c>
      <c r="BE7" s="1249">
        <f>SUMIF($AC$718:$AC$752,"&lt;=30%",$G$718:G$752)-SUM($BE$5:BE6)</f>
        <v>26</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2506</v>
      </c>
      <c r="BE8" s="1249">
        <f>SUMIF($AC$718:$AC$752,"&lt;=35%",$G$718:G$752)-SUM($BE$5:BE7)</f>
        <v>0</v>
      </c>
    </row>
    <row r="9" spans="1:58" ht="12.9"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2498</v>
      </c>
      <c r="BE9" s="1249">
        <f>SUMIF($AC$718:$AC$752,"&lt;=40%",$G$718:G$752)-SUM($BE$5:BE8)</f>
        <v>0</v>
      </c>
    </row>
    <row r="10" spans="1:58" ht="12.9" customHeight="1">
      <c r="A10" s="1373" t="s">
        <v>2455</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2507</v>
      </c>
      <c r="BE10" s="1249">
        <f>SUMIF($AC$718:$AC$752,"&lt;=45%",$G$718:G$752)-SUM($BE$5:BE9)</f>
        <v>0</v>
      </c>
    </row>
    <row r="11" spans="1:58" ht="12.9" customHeight="1">
      <c r="A11" s="1373" t="s">
        <v>2601</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2499</v>
      </c>
      <c r="BE11" s="1249">
        <f>SUMIF($AC$718:$AC$752,"&lt;=50%",$G$718:G$752)-SUM($BE$5:BE10)</f>
        <v>26</v>
      </c>
    </row>
    <row r="12" spans="1:58" ht="12.9" customHeight="1">
      <c r="A12" s="1412" t="s">
        <v>2607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2508</v>
      </c>
      <c r="BE12" s="1249">
        <f>SUMIF($AC$718:$AC$752,"&lt;=55%",$G$718:G$752)-SUM($BE$5:BE11)</f>
        <v>0</v>
      </c>
    </row>
    <row r="13" spans="1:58" ht="12.9"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2500</v>
      </c>
      <c r="BE13" s="1249">
        <f>SUMIF($AC$718:$AC$752,"&lt;=60%",$G$718:G$752)-SUM($BE$5:BE12)</f>
        <v>176</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2501</v>
      </c>
      <c r="BE14" s="1249">
        <f>SUMIF($AC$718:$AC$752,"&lt;=70%",$G$718:G$752)-SUM($BE$5:BE13)</f>
        <v>21</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SUMIF($AC$718:$AC$752,"&lt;=80%",$G$718:G$752)-SUM($BE$5:BE14)</f>
        <v>0</v>
      </c>
    </row>
    <row r="16" spans="1:58" ht="12.9" customHeight="1">
      <c r="A16" s="57" t="s">
        <v>2076</v>
      </c>
      <c r="C16" s="4"/>
      <c r="D16" s="4"/>
      <c r="E16" s="4"/>
      <c r="F16" s="4"/>
      <c r="G16" s="4"/>
      <c r="H16" s="1421" t="str">
        <f>'[1]Data Port'!$G$20</f>
        <v>3400 Broadway LLC</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655</v>
      </c>
      <c r="BE16" s="1249" t="str">
        <f>Application!H18</f>
        <v>3403 Piedmont Avenue, Oakland, CA 94607</v>
      </c>
    </row>
    <row r="17" spans="1:58" ht="12.9" customHeight="1">
      <c r="BD17" s="1247" t="s">
        <v>2515</v>
      </c>
      <c r="BE17" s="1249">
        <f>Application!AA934</f>
        <v>0</v>
      </c>
    </row>
    <row r="18" spans="1:58" ht="12.9" customHeight="1">
      <c r="A18" s="57" t="s">
        <v>101</v>
      </c>
      <c r="C18" s="4"/>
      <c r="D18" s="4"/>
      <c r="E18" s="4"/>
      <c r="F18" s="4"/>
      <c r="G18" s="4"/>
      <c r="H18" s="1417" t="str">
        <f>'[1]Data Port'!$G$21</f>
        <v>3403 Piedmont Avenue, Oakland, CA 94607</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2516</v>
      </c>
      <c r="BE18" s="1249">
        <f>'CalHFA Addendum'!N11</f>
        <v>0</v>
      </c>
    </row>
    <row r="19" spans="1:58" ht="12.9" customHeight="1">
      <c r="BD19" s="1247" t="s">
        <v>2517</v>
      </c>
      <c r="BE19" s="1249">
        <f>Application!M26</f>
        <v>3113805</v>
      </c>
    </row>
    <row r="20" spans="1:58" ht="12.9"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2518</v>
      </c>
      <c r="BE20" s="1249">
        <f>Application!M27</f>
        <v>0</v>
      </c>
    </row>
    <row r="21" spans="1:58" ht="12.9" customHeight="1">
      <c r="A21" s="1423" t="s">
        <v>1007</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2519</v>
      </c>
      <c r="BE21" s="1249">
        <f>Application!AM554</f>
        <v>17154743</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68435561</v>
      </c>
      <c r="BF22" s="3" t="s">
        <v>2592</v>
      </c>
    </row>
    <row r="23" spans="1:58" ht="12.9" customHeight="1">
      <c r="A23" s="1292" t="s">
        <v>2143</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2520</v>
      </c>
      <c r="BE23" s="1249">
        <f>'Sources and Uses Budget'!B4</f>
        <v>4380000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2521</v>
      </c>
      <c r="BE24" s="1249">
        <f>Application!AG450</f>
        <v>133268.3751</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 customHeight="1">
      <c r="A26" s="4"/>
      <c r="C26" s="4"/>
      <c r="D26" s="4"/>
      <c r="E26" s="4"/>
      <c r="F26" s="4"/>
      <c r="G26" s="4"/>
      <c r="H26" s="4"/>
      <c r="I26" s="4"/>
      <c r="J26" s="4"/>
      <c r="K26" s="4"/>
      <c r="L26" s="4"/>
      <c r="M26" s="1420">
        <f>'Basis &amp; Credits'!AB56</f>
        <v>3113805</v>
      </c>
      <c r="N26" s="1420"/>
      <c r="O26" s="1420"/>
      <c r="P26" s="1420"/>
      <c r="Q26" s="1420"/>
      <c r="R26" s="4" t="s">
        <v>758</v>
      </c>
      <c r="S26" s="4"/>
      <c r="T26" s="4"/>
      <c r="U26" s="4"/>
      <c r="V26" s="4"/>
      <c r="W26" s="4"/>
      <c r="X26" s="4"/>
      <c r="Y26" s="4"/>
      <c r="Z26" s="4"/>
      <c r="AF26" s="4"/>
      <c r="AG26" s="4"/>
      <c r="AH26" s="4"/>
      <c r="AI26" s="4"/>
      <c r="AJ26" s="4"/>
      <c r="AK26" s="4"/>
      <c r="BD26" s="1248" t="s">
        <v>1637</v>
      </c>
      <c r="BE26" s="1249" t="b">
        <f>Application!M356="Yes"</f>
        <v>0</v>
      </c>
    </row>
    <row r="27" spans="1:58" ht="12.9" customHeight="1">
      <c r="A27" s="4"/>
      <c r="C27" s="4"/>
      <c r="D27" s="4"/>
      <c r="E27" s="4"/>
      <c r="F27" s="4"/>
      <c r="G27" s="4"/>
      <c r="H27" s="4"/>
      <c r="I27" s="4"/>
      <c r="J27" s="4"/>
      <c r="K27" s="4"/>
      <c r="L27" s="4"/>
      <c r="M27" s="1354">
        <f>'Basis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 customHeight="1">
      <c r="A29" s="1414" t="s">
        <v>2144</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2524</v>
      </c>
      <c r="BE29" s="1249" t="b">
        <f>Application!M358="Yes"</f>
        <v>0</v>
      </c>
    </row>
    <row r="30" spans="1:58" ht="12.9"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2525</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 customHeight="1">
      <c r="A33" s="519" t="s">
        <v>1276</v>
      </c>
      <c r="C33" s="519"/>
      <c r="D33" s="519"/>
      <c r="E33" s="519"/>
      <c r="F33" s="519"/>
      <c r="G33" s="519"/>
      <c r="H33" s="519"/>
      <c r="I33" s="519"/>
      <c r="J33" s="519"/>
      <c r="K33" s="519"/>
      <c r="L33" s="519"/>
      <c r="M33" s="519"/>
      <c r="N33" s="519"/>
      <c r="O33" s="1419" t="str">
        <f>'[1]Data Port'!$D$22</f>
        <v>No</v>
      </c>
      <c r="P33" s="1332"/>
      <c r="Q33" s="1415" t="s">
        <v>2145</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2593</v>
      </c>
      <c r="BE33" s="1249" t="str">
        <f>Application!D220</f>
        <v>East Bay Region: Alameda and Contra Costa Counties</v>
      </c>
    </row>
    <row r="34" spans="1:57" ht="12.9" customHeight="1">
      <c r="A34" s="1414" t="s">
        <v>2146</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2527</v>
      </c>
      <c r="BE34" s="1249" t="str">
        <f>Application!I185</f>
        <v>3403 Piedmont Avenue, Oakland, CA 94607</v>
      </c>
    </row>
    <row r="35" spans="1:57" ht="12.9"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2528</v>
      </c>
      <c r="BE35" s="1249" t="str">
        <f>IF(Application!E187="","",Application!E187)</f>
        <v/>
      </c>
    </row>
    <row r="36" spans="1:57" ht="12.9"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2529</v>
      </c>
      <c r="BE36" s="1249" t="str">
        <f>Application!I189</f>
        <v>Oakland</v>
      </c>
    </row>
    <row r="37" spans="1:57" ht="12.9"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2530</v>
      </c>
      <c r="BE37" s="1249" t="str">
        <f>Application!T189</f>
        <v>Alameda</v>
      </c>
    </row>
    <row r="38" spans="1:57" ht="12.9" customHeight="1">
      <c r="A38" s="3"/>
      <c r="AZ38" s="20"/>
      <c r="BD38" s="1248" t="s">
        <v>2531</v>
      </c>
      <c r="BE38" s="1249" t="str">
        <f>Application!I190</f>
        <v>94607</v>
      </c>
    </row>
    <row r="39" spans="1:57" ht="12.9" customHeight="1">
      <c r="A39" s="1262" t="s">
        <v>2147</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2532</v>
      </c>
      <c r="BE39" s="1249">
        <f>Application!AG437</f>
        <v>252</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249</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2533</v>
      </c>
      <c r="BE42" s="1251">
        <f>Application!AC753</f>
        <v>0.56666666666666665</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2534</v>
      </c>
      <c r="BE43" s="1251">
        <f>Application!AH753</f>
        <v>0.50621002285856553</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2535</v>
      </c>
      <c r="BE44" s="1249">
        <f>Application!AC454</f>
        <v>271569.68650793651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 customHeight="1">
      <c r="A46" s="1292" t="s">
        <v>2148</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2537</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2538</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2539</v>
      </c>
      <c r="BE48" s="1249" t="str">
        <f>Application!M243</f>
        <v>3400 Broadway LLC</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2540</v>
      </c>
      <c r="BE49" s="1249" t="str">
        <f>Application!M246</f>
        <v>Jeremy Harris</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3400 Broadway LLC</v>
      </c>
    </row>
    <row r="51" spans="1:57" ht="12.9" customHeight="1">
      <c r="A51" s="1262" t="s">
        <v>2149</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2542</v>
      </c>
      <c r="BE51" s="1249" t="str">
        <f>Application!M251</f>
        <v>Community Housing Works</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2543</v>
      </c>
      <c r="BE52" s="1249" t="str">
        <f>Application!M254</f>
        <v>Kevin Leichner</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Housing Works</v>
      </c>
    </row>
    <row r="54" spans="1:57" ht="12.9" customHeight="1">
      <c r="A54" s="1262" t="s">
        <v>2150</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2545</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2546</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2547</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2548</v>
      </c>
      <c r="BE57" s="1249" t="str">
        <f>Application!H287</f>
        <v>Community HousingWorks</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2549</v>
      </c>
      <c r="BE58" s="1249" t="str">
        <f>Application!H288</f>
        <v>3111 Camino Del Rio N, Suite 800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San Diego, CA, 92108</v>
      </c>
    </row>
    <row r="60" spans="1:57" ht="12.9" customHeight="1">
      <c r="A60" s="1262" t="s">
        <v>2151</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2551</v>
      </c>
      <c r="BE60" s="1249" t="str">
        <f>Application!H290</f>
        <v>Kevin Leichner</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2552</v>
      </c>
      <c r="BE61" s="1249" t="str">
        <f>Application!H293</f>
        <v>kleichner@chworks.org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0.82250000000000001</v>
      </c>
    </row>
    <row r="63" spans="1:57" ht="12.9"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 customHeight="1">
      <c r="A65" s="1416" t="s">
        <v>2153</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2590</v>
      </c>
      <c r="BE65" s="1249" t="str">
        <f>Z205</f>
        <v>(select)</v>
      </c>
    </row>
    <row r="66" spans="1:57" ht="12.9"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2555</v>
      </c>
      <c r="BE66" s="1249" t="b">
        <f>Application!Z205="State Farmworker Credit"</f>
        <v>0</v>
      </c>
    </row>
    <row r="67" spans="1:57" ht="12.9"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2556</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'Sources and Uses Budget'!D105</f>
        <v>0</v>
      </c>
    </row>
    <row r="69" spans="1:57" ht="12.9" customHeight="1">
      <c r="A69" s="1416" t="s">
        <v>2154</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2558</v>
      </c>
      <c r="BE69" s="1249">
        <f>Application!W700</f>
        <v>0</v>
      </c>
    </row>
    <row r="70" spans="1:57" ht="12.9"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2559</v>
      </c>
      <c r="BE70" s="1249">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 customHeight="1">
      <c r="A72" s="1414" t="s">
        <v>2155</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2561</v>
      </c>
      <c r="BE72" s="1249">
        <f>'Points System'!AF805</f>
        <v>10</v>
      </c>
    </row>
    <row r="73" spans="1:57" ht="12.9"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2562</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'Points System'!AF807</f>
        <v>10</v>
      </c>
    </row>
    <row r="75" spans="1:57" ht="12.9" customHeight="1">
      <c r="A75" s="1791" t="s">
        <v>2156</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2564</v>
      </c>
      <c r="BE75" s="1249">
        <f>'Points System'!AF808</f>
        <v>10</v>
      </c>
    </row>
    <row r="76" spans="1:57" ht="12.9"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2565</v>
      </c>
      <c r="BE76" s="1249">
        <f>'Points System'!AF811</f>
        <v>10</v>
      </c>
    </row>
    <row r="77" spans="1:57" ht="12.9"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2566</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 customHeight="1">
      <c r="A79" s="1416" t="s">
        <v>2157</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2568</v>
      </c>
      <c r="BE79" s="1249">
        <f>'Points System'!AF815</f>
        <v>9</v>
      </c>
    </row>
    <row r="80" spans="1:57" ht="12.9"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2569</v>
      </c>
      <c r="BE80" s="1249">
        <f>'Points System'!AF817</f>
        <v>10</v>
      </c>
    </row>
    <row r="81" spans="1:57" ht="12.9"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2570</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'Points System'!AF819</f>
        <v>10</v>
      </c>
    </row>
    <row r="83" spans="1:57" ht="12.9" customHeight="1">
      <c r="A83" s="1262" t="s">
        <v>2158</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2572</v>
      </c>
      <c r="BE83" s="1253">
        <f>'Tie Breaker'!H5</f>
        <v>3.6893360330033911</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2573</v>
      </c>
      <c r="BE84" s="1249" t="str">
        <f>Application!O153</f>
        <v>City of Oakland</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Ms. Michele Byrd</v>
      </c>
    </row>
    <row r="86" spans="1:57" ht="12.9" customHeight="1">
      <c r="A86" s="1262" t="s">
        <v>2159</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2575</v>
      </c>
      <c r="BE86" s="1249" t="str">
        <f>Application!O155</f>
        <v>Housing Development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2576</v>
      </c>
      <c r="BE87" s="1249" t="str">
        <f>Application!O156</f>
        <v>250 Frank Ogawa Plaza, Suite
6301</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Oakland</v>
      </c>
    </row>
    <row r="89" spans="1:57" ht="12.9" customHeight="1">
      <c r="A89" s="1790" t="s">
        <v>2160</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2578</v>
      </c>
      <c r="BE89" s="1249">
        <f>Application!O158</f>
        <v>94612</v>
      </c>
    </row>
    <row r="90" spans="1:57" ht="12.9"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2579</v>
      </c>
      <c r="BE90" s="1249" t="str">
        <f>Application!H16</f>
        <v>3400 Broadway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 customHeight="1">
      <c r="A92" s="1791" t="s">
        <v>2161</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2581</v>
      </c>
      <c r="BE92" s="1249" t="str">
        <f>Application!M234</f>
        <v>Oakland</v>
      </c>
    </row>
    <row r="93" spans="1:57" ht="12.9"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2582</v>
      </c>
      <c r="BE93" s="1249" t="str">
        <f>Application!W234</f>
        <v>CA</v>
      </c>
    </row>
    <row r="94" spans="1:57" ht="12.9"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2583</v>
      </c>
      <c r="BE94" s="1249">
        <f>Application!AC234</f>
        <v>94607</v>
      </c>
    </row>
    <row r="95" spans="1:57" ht="12.9"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2584</v>
      </c>
      <c r="BE95" s="1249" t="str">
        <f>Application!M235</f>
        <v>CA</v>
      </c>
    </row>
    <row r="96" spans="1:57" ht="12.9"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2585</v>
      </c>
      <c r="BE96" s="1249" t="str">
        <f>Application!M237</f>
        <v>jeremy@owow.com</v>
      </c>
    </row>
    <row r="97" spans="1:57" ht="12.9"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2586</v>
      </c>
      <c r="BE97" s="1249" t="str">
        <f>Application!M248</f>
        <v>jeremy@owow.com</v>
      </c>
    </row>
    <row r="98" spans="1:57" ht="12.9"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2587</v>
      </c>
      <c r="BE98" s="1249" t="str">
        <f>Application!M256</f>
        <v>kleichner@chworks.org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 customHeight="1">
      <c r="A100" s="1792" t="s">
        <v>2162</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2589</v>
      </c>
      <c r="BE100" s="1249" t="str">
        <f>Application!L279</f>
        <v>jeremy@owow.com</v>
      </c>
    </row>
    <row r="101" spans="1:57" ht="12.9"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2594</v>
      </c>
      <c r="BE101">
        <f>'Sources and Uses Budget'!C105</f>
        <v>68435561</v>
      </c>
    </row>
    <row r="102" spans="1:57" ht="12.9"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2595</v>
      </c>
      <c r="BE102" t="b">
        <f>T197="Yes"</f>
        <v>0</v>
      </c>
    </row>
    <row r="103" spans="1:57" ht="12.9"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2172</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92" t="s">
        <v>2163</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93">
        <f ca="1">DAY(TODAY())</f>
        <v>9</v>
      </c>
      <c r="H113" s="1793"/>
      <c r="I113" s="3" t="s">
        <v>182</v>
      </c>
      <c r="L113" s="1793" t="str">
        <f ca="1">TEXT(TODAY(),"mmmm")</f>
        <v>September</v>
      </c>
      <c r="M113" s="1793"/>
      <c r="N113" s="1793"/>
      <c r="O113" s="1793"/>
      <c r="P113" s="1799" t="s">
        <v>2236</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4" t="s">
        <v>2609</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3" t="s">
        <v>2610</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468</v>
      </c>
      <c r="CV122" s="1659"/>
      <c r="CW122" s="14"/>
      <c r="CX122" s="14" t="s">
        <v>633</v>
      </c>
      <c r="CY122" s="14"/>
      <c r="CZ122" s="14"/>
      <c r="DA122" s="14"/>
      <c r="DB122" s="14"/>
      <c r="DC122" s="14"/>
      <c r="DD122" s="14"/>
      <c r="DE122" s="14"/>
      <c r="DF122" s="14"/>
      <c r="DG122" s="1655" t="str">
        <f>T189</f>
        <v>Alameda</v>
      </c>
      <c r="DH122" s="1656"/>
      <c r="DI122" s="1656"/>
      <c r="DJ122" s="1656"/>
      <c r="DK122" s="1656"/>
      <c r="DL122" s="1656"/>
      <c r="DM122" s="1657"/>
    </row>
    <row r="123" spans="1:117" ht="12.9" customHeight="1">
      <c r="A123" s="3"/>
      <c r="B123" s="3"/>
      <c r="T123" s="3"/>
      <c r="U123" s="3"/>
      <c r="V123" s="3"/>
      <c r="W123" s="3"/>
      <c r="X123" s="3"/>
      <c r="Y123" s="1793" t="s">
        <v>2611</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 customHeight="1">
      <c r="BM152">
        <v>4</v>
      </c>
      <c r="BN152" s="3" t="s">
        <v>2461</v>
      </c>
    </row>
    <row r="153" spans="1:108" ht="12.9" customHeight="1">
      <c r="D153" t="s">
        <v>644</v>
      </c>
      <c r="O153" s="1418" t="str">
        <f>'[1]Data Port'!$G1413</f>
        <v>City of Oakland</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2463</v>
      </c>
      <c r="CR153" s="31" t="s">
        <v>2596</v>
      </c>
      <c r="CS153" s="32"/>
      <c r="CT153" s="32"/>
      <c r="CU153" s="32"/>
      <c r="CV153" s="32"/>
      <c r="CW153" s="32"/>
      <c r="CX153" s="14"/>
      <c r="CY153" s="31" t="s">
        <v>2597</v>
      </c>
      <c r="CZ153" s="14"/>
      <c r="DA153" s="14"/>
      <c r="DB153" s="14"/>
      <c r="DC153" s="14"/>
      <c r="DD153" s="14"/>
    </row>
    <row r="154" spans="1:108" ht="12.9" customHeight="1">
      <c r="D154" s="303" t="s">
        <v>439</v>
      </c>
      <c r="O154" s="1438" t="str">
        <f>'[1]Data Port'!$G1414</f>
        <v>Ms. Michele Byrd</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2464</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13" t="str">
        <f>'[1]Data Port'!$G1415</f>
        <v>Housing Development Manager</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 customHeight="1">
      <c r="D156" t="s">
        <v>313</v>
      </c>
      <c r="O156" s="1372" t="str">
        <f>'[1]Data Port'!$G1416</f>
        <v>250 Frank Ogawa Plaza, Suite
6301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8" t="str">
        <f>'[1]Data Port'!$G1417</f>
        <v>Oakland</v>
      </c>
      <c r="P157" s="1418"/>
      <c r="Q157" s="1418"/>
      <c r="R157" s="1418"/>
      <c r="S157" s="1418"/>
      <c r="T157" s="1418"/>
      <c r="U157" s="1418"/>
      <c r="V157" s="1418"/>
      <c r="W157" s="1418"/>
      <c r="X157" s="14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6">
        <f>'[1]Data Port'!$G$1418</f>
        <v>94612</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4" t="str">
        <f>'[1]Data Port'!$G$1419</f>
        <v>(510) 238-2087</v>
      </c>
      <c r="P159" s="1784"/>
      <c r="Q159" s="1784"/>
      <c r="R159" s="1784"/>
      <c r="S159" s="1784"/>
      <c r="T159" s="1784"/>
      <c r="V159" s="97" t="s">
        <v>271</v>
      </c>
      <c r="W159" s="1797">
        <f>'[1]Data Port'!$G$1422</f>
        <v>0</v>
      </c>
      <c r="X159" s="1797"/>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 customHeight="1">
      <c r="D160" t="s">
        <v>317</v>
      </c>
      <c r="O160" s="1784" t="str">
        <f>'[1]Data Port'!$G$1420</f>
        <v>(510) 238-3714</v>
      </c>
      <c r="P160" s="1784"/>
      <c r="Q160" s="1784"/>
      <c r="R160" s="1784"/>
      <c r="S160" s="1784"/>
      <c r="T160" s="178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 customHeight="1">
      <c r="D161" t="s">
        <v>318</v>
      </c>
      <c r="O161" s="1789" t="str">
        <f>'[1]Data Port'!$G$1421</f>
        <v>mailto:mbyrd@oaklandnet.com</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 customHeight="1">
      <c r="C164" s="27"/>
      <c r="D164" s="1805" t="s">
        <v>2213</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 customHeight="1">
      <c r="A169" s="1424" t="s">
        <v>538</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 customHeight="1">
      <c r="C173" s="24"/>
      <c r="D173" t="s">
        <v>321</v>
      </c>
      <c r="J173" s="1812" t="str">
        <f>'[1]Data Port'!$G$24</f>
        <v>Preliminary Reservation</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 customHeight="1">
      <c r="C174" s="24"/>
      <c r="D174" s="3" t="s">
        <v>1200</v>
      </c>
      <c r="J174" s="1372" t="str">
        <f>'[1]Data Port'!$G$25</f>
        <v>CDLAC-CTCAC Joint Application (submitting concurrently)</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2" t="str">
        <f>'[1]Data Port'!$G$26</f>
        <v>No</v>
      </c>
      <c r="V175" s="1332"/>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2077</v>
      </c>
      <c r="T176" s="27" t="s">
        <v>305</v>
      </c>
      <c r="U176" s="1427" t="str">
        <f>'[1]Data Port'!$G$27</f>
        <v>No</v>
      </c>
      <c r="V176" s="1427"/>
      <c r="W176" s="1" t="s">
        <v>306</v>
      </c>
      <c r="X176" s="1787" t="str">
        <f>'[1]Data Port'!$G$28</f>
        <v>No</v>
      </c>
      <c r="Y176" s="1787"/>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2" t="str">
        <f>'[1]Data Port'!$G$27</f>
        <v>No</v>
      </c>
      <c r="S177" s="1332"/>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1201</v>
      </c>
      <c r="AA178" t="s">
        <v>2077</v>
      </c>
      <c r="AE178" s="27" t="s">
        <v>305</v>
      </c>
      <c r="AF178" s="1786"/>
      <c r="AG178" s="1786"/>
      <c r="AH178" s="1" t="s">
        <v>306</v>
      </c>
      <c r="AI178" s="1808"/>
      <c r="AJ178" s="1808"/>
      <c r="AK178" s="180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2078</v>
      </c>
      <c r="X180" s="1332" t="str">
        <f>'[1]Data Port'!$G$28</f>
        <v>No</v>
      </c>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577</v>
      </c>
      <c r="I184" s="1359" t="str">
        <f>H18</f>
        <v>3403 Piedmont Avenue, Oakland, CA 94607</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578</v>
      </c>
      <c r="I185" s="1349" t="str">
        <f>'[1]Data Port'!$G$30</f>
        <v>3403 Piedmont Avenue, Oakland, CA 94607</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579</v>
      </c>
      <c r="I189" s="1417" t="str">
        <f>'[1]Data Port'!$G$31</f>
        <v>Oakland</v>
      </c>
      <c r="J189" s="1372"/>
      <c r="K189" s="1372"/>
      <c r="L189" s="1372"/>
      <c r="M189" s="1372"/>
      <c r="N189" s="1372"/>
      <c r="O189" s="1372"/>
      <c r="P189" s="1372"/>
      <c r="Q189" t="s">
        <v>581</v>
      </c>
      <c r="T189" s="1372" t="str">
        <f>'[1]Data Port'!$G$32</f>
        <v>Alameda</v>
      </c>
      <c r="U189" s="1372"/>
      <c r="V189" s="1372"/>
      <c r="W189" s="1372"/>
      <c r="X189" s="1372"/>
      <c r="Y189" s="1372"/>
      <c r="Z189" s="1372"/>
      <c r="AA189" s="1372"/>
      <c r="AB189" s="1372"/>
      <c r="AC189" s="1372"/>
      <c r="AD189" s="1372"/>
      <c r="AE189" s="137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582</v>
      </c>
      <c r="I190" s="1349" t="str">
        <f>'[1]Data Port'!$G$33</f>
        <v>94607</v>
      </c>
      <c r="J190" s="1349"/>
      <c r="K190" s="1349"/>
      <c r="L190" s="1349"/>
      <c r="M190" s="1349"/>
      <c r="N190" s="1349"/>
      <c r="O190" t="s">
        <v>584</v>
      </c>
      <c r="T190" s="1794" t="str">
        <f>'[1]Data Port'!$G$34</f>
        <v>403501</v>
      </c>
      <c r="U190" s="1794"/>
      <c r="V190" s="1794"/>
      <c r="W190" s="1794"/>
      <c r="X190" s="1794"/>
      <c r="Y190" s="1794"/>
      <c r="Z190" s="1794"/>
      <c r="AA190" s="1794"/>
      <c r="AB190" s="1794"/>
      <c r="AC190" s="1794"/>
      <c r="AD190" s="1794"/>
      <c r="AE190" s="179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461</v>
      </c>
      <c r="N191" s="1807" t="str">
        <f>'[1]Data Port'!$G$35</f>
        <v>009-0732-005-02 ,009-0732-006-00 , , , ,</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2079</v>
      </c>
      <c r="M193" s="40"/>
      <c r="N193" s="894"/>
      <c r="O193" s="894"/>
      <c r="P193" s="894"/>
      <c r="Q193" s="894"/>
      <c r="R193" s="894"/>
      <c r="S193" s="894"/>
      <c r="T193" s="1798" t="str">
        <f>'[1]Data Port'!$G$36</f>
        <v>Moderate Resource</v>
      </c>
      <c r="U193" s="1798"/>
      <c r="V193" s="1798"/>
      <c r="W193" s="1798"/>
      <c r="X193" s="1798"/>
      <c r="Y193" s="1798"/>
      <c r="Z193" s="1798"/>
      <c r="AA193" s="1798"/>
      <c r="AB193" s="1798"/>
      <c r="AC193" s="1798"/>
      <c r="AD193" s="1798"/>
      <c r="AE193" s="1798"/>
      <c r="AF193" s="1798"/>
      <c r="AG193" s="1798"/>
      <c r="AH193" s="1798"/>
      <c r="AI193" s="1798"/>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 customHeight="1">
      <c r="C194" s="21"/>
      <c r="D194" s="3" t="s">
        <v>2212</v>
      </c>
      <c r="M194" s="40"/>
      <c r="N194" s="894"/>
      <c r="O194" s="894"/>
      <c r="P194" s="894"/>
      <c r="Q194" s="894"/>
      <c r="R194" s="894"/>
      <c r="S194" s="894"/>
      <c r="AH194" s="1332" t="str">
        <f>'[1]Data Port'!$G$37</f>
        <v>No</v>
      </c>
      <c r="AI194" s="1332"/>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 customHeight="1">
      <c r="C195" s="21"/>
      <c r="D195" t="s">
        <v>331</v>
      </c>
      <c r="T195" s="1332" t="str">
        <f>'[1]Data Port'!$G$38</f>
        <v>No</v>
      </c>
      <c r="U195" s="1332"/>
      <c r="W195" t="s">
        <v>683</v>
      </c>
      <c r="AH195" s="1332">
        <f>'[1]Data Port'!$G$39</f>
        <v>12</v>
      </c>
      <c r="AI195" s="1332"/>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 customHeight="1">
      <c r="C196" s="21"/>
      <c r="D196" t="s">
        <v>385</v>
      </c>
      <c r="T196" s="1403" t="str">
        <f>'[1]Data Port'!$G$40</f>
        <v>Yes</v>
      </c>
      <c r="U196" s="1403"/>
      <c r="W196" t="s">
        <v>684</v>
      </c>
      <c r="AH196" s="1332" t="str">
        <f>'[1]Data Port'!$G$41</f>
        <v>18</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 customHeight="1">
      <c r="C197" s="21"/>
      <c r="D197" s="3" t="s">
        <v>169</v>
      </c>
      <c r="T197" s="1403" t="str">
        <f>'[1]Data Port'!$G$44</f>
        <v>No</v>
      </c>
      <c r="U197" s="1403"/>
      <c r="W197" t="s">
        <v>685</v>
      </c>
      <c r="AH197" s="1332" t="str">
        <f>'[1]Data Port'!$G$43</f>
        <v>7</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 customHeight="1">
      <c r="A198"/>
      <c r="B198"/>
      <c r="C198" s="21"/>
      <c r="D198" s="3" t="s">
        <v>1650</v>
      </c>
      <c r="E198"/>
      <c r="F198"/>
      <c r="G198"/>
      <c r="H198"/>
      <c r="I198"/>
      <c r="J198"/>
      <c r="K198"/>
      <c r="L198"/>
      <c r="M198"/>
      <c r="N198"/>
      <c r="O198"/>
      <c r="P198"/>
      <c r="Q198"/>
      <c r="R198"/>
      <c r="S198"/>
      <c r="T198" s="1403" t="str">
        <f>'[1]Data Port'!$G$44</f>
        <v>No</v>
      </c>
      <c r="U198" s="1403"/>
      <c r="V198"/>
      <c r="X198" s="1414" t="s">
        <v>2510</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2513</v>
      </c>
      <c r="E199"/>
      <c r="F199"/>
      <c r="G199"/>
      <c r="H199"/>
      <c r="I199"/>
      <c r="J199"/>
      <c r="K199"/>
      <c r="L199"/>
      <c r="M199"/>
      <c r="N199"/>
      <c r="O199"/>
      <c r="P199"/>
      <c r="Q199"/>
      <c r="R199"/>
      <c r="S199"/>
      <c r="T199" s="1332" t="str">
        <f>'[1]Data Port'!$G$45</f>
        <v>No</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2511</v>
      </c>
      <c r="T200" s="1332" t="str">
        <f>'[1]Data Port'!$G$46</f>
        <v>No</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 customHeight="1">
      <c r="D204" s="1359" t="s">
        <v>384</v>
      </c>
      <c r="E204" s="1359"/>
      <c r="F204" s="1359"/>
      <c r="G204" s="1359"/>
      <c r="H204" s="1359"/>
      <c r="I204" s="1359"/>
      <c r="J204" s="1359"/>
      <c r="K204" s="1359"/>
      <c r="L204" s="1359"/>
      <c r="M204" s="1359"/>
      <c r="P204" s="1806">
        <f>M26</f>
        <v>3113805</v>
      </c>
      <c r="Q204" s="1785"/>
      <c r="R204" s="1785"/>
      <c r="S204" s="1785"/>
      <c r="T204" s="1785"/>
      <c r="U204" s="178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 customHeight="1">
      <c r="C205" s="21"/>
      <c r="D205" s="1816" t="s">
        <v>1245</v>
      </c>
      <c r="E205" s="1359"/>
      <c r="F205" s="1359"/>
      <c r="G205" s="1359"/>
      <c r="H205" s="1359"/>
      <c r="I205" s="1359"/>
      <c r="J205" s="1359"/>
      <c r="K205" s="1359"/>
      <c r="L205" s="1359"/>
      <c r="M205" s="1359"/>
      <c r="P205" s="1785">
        <f>M27</f>
        <v>0</v>
      </c>
      <c r="Q205" s="1785"/>
      <c r="R205" s="1785"/>
      <c r="S205" s="1785"/>
      <c r="T205" s="1785"/>
      <c r="U205" s="1785"/>
      <c r="V205" s="28"/>
      <c r="W205" s="3" t="s">
        <v>1718</v>
      </c>
      <c r="Z205" s="1814" t="str">
        <f>'[1]Data Port'!$G$48</f>
        <v>(select)</v>
      </c>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 customHeight="1">
      <c r="C208" s="21"/>
      <c r="D208" s="1418" t="str">
        <f>'[1]Data Port'!$G$50</f>
        <v>40%/60% Average Income</v>
      </c>
      <c r="E208" s="1418"/>
      <c r="F208" s="1418"/>
      <c r="G208" s="1418"/>
      <c r="H208" s="1418"/>
      <c r="I208" s="1418"/>
      <c r="J208" s="1418"/>
      <c r="K208" s="1418"/>
      <c r="L208" s="1418"/>
      <c r="M208" s="1418"/>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tr">
        <f>'[1]Data Port'!$G$52</f>
        <v>Non-Targeted</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2227</v>
      </c>
      <c r="Q212" s="1332"/>
      <c r="R212" s="1332"/>
      <c r="T212" s="1800">
        <f>IFERROR(Q212/AG440,0)</f>
        <v>0</v>
      </c>
      <c r="U212" s="1801"/>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1651</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1649</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591</v>
      </c>
      <c r="C218" s="2" t="s">
        <v>2230</v>
      </c>
      <c r="D218" s="28"/>
      <c r="AC218" s="2" t="s">
        <v>2459</v>
      </c>
      <c r="BC218" t="s">
        <v>528</v>
      </c>
    </row>
    <row r="219" spans="1:108" ht="12.9" customHeight="1">
      <c r="A219" s="2"/>
      <c r="C219" s="2"/>
      <c r="D219" s="3" t="s">
        <v>2460</v>
      </c>
      <c r="AZ219" s="3"/>
      <c r="BA219" s="3"/>
      <c r="BC219" t="s">
        <v>376</v>
      </c>
    </row>
    <row r="220" spans="1:108" ht="12.9" customHeight="1">
      <c r="A220" s="2"/>
      <c r="C220" s="2"/>
      <c r="D220" s="1418" t="str">
        <f>'[1]Data Port'!$G$54</f>
        <v>East Bay Region: Alameda and Contra Costa Counties</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tr">
        <f>'[1]Data Port'!$G$55</f>
        <v>Bay Area ((Alameda, Contra Costa, Marin, San Francisco, San Mateo, Santa Clara, and Santa Cruz Counties)</v>
      </c>
      <c r="AD220" s="1815"/>
      <c r="AE220" s="1815"/>
      <c r="AF220" s="1815"/>
      <c r="AG220" s="1815"/>
      <c r="AH220" s="1815"/>
      <c r="AI220" s="1815"/>
      <c r="AJ220" s="1815"/>
      <c r="AK220" s="1815"/>
      <c r="AL220" s="1815"/>
      <c r="AM220" s="1815"/>
      <c r="AN220" s="1815"/>
      <c r="AO220" s="1815"/>
      <c r="AP220" s="1815"/>
      <c r="AQ220" s="1815"/>
      <c r="BA220" s="3"/>
      <c r="BC220" t="s">
        <v>300</v>
      </c>
    </row>
    <row r="221" spans="1:108" ht="12.9" customHeight="1">
      <c r="A221" s="2"/>
      <c r="B221" s="14"/>
      <c r="C221" s="2"/>
      <c r="BA221" s="3"/>
    </row>
    <row r="222" spans="1:108" ht="12.9" customHeight="1">
      <c r="A222" s="1424" t="s">
        <v>539</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6.5" customHeight="1">
      <c r="AZ224" s="4"/>
      <c r="BA224" s="3"/>
      <c r="BB224" s="3"/>
      <c r="BQ224" s="34"/>
    </row>
    <row r="225" spans="1:59" ht="12.9"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tr">
        <f>'[1]Data Port'!$G$59</f>
        <v>N/A</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tr">
        <f>'[1]Data Port'!$G$60</f>
        <v>Yes</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tr">
        <f>'[1]Data Port'!$G$61</f>
        <v>Yes</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tr">
        <f>'[1]Data Port'!$G$62</f>
        <v>N/A</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795" t="str">
        <f>H16</f>
        <v>3400 Broadway LLC</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537</v>
      </c>
      <c r="BG232" s="241">
        <f>IF(AND(AND($M$249="nonprofit",$M$257="nonprofit",$M$265="for profit")),2,0)</f>
        <v>0</v>
      </c>
    </row>
    <row r="233" spans="1:59" ht="12.9" customHeight="1">
      <c r="D233" s="4" t="s">
        <v>85</v>
      </c>
      <c r="E233" s="4"/>
      <c r="F233" s="4"/>
      <c r="G233" s="4"/>
      <c r="H233" s="4"/>
      <c r="I233" s="4"/>
      <c r="J233" s="4"/>
      <c r="K233" s="4"/>
      <c r="M233" s="1418" t="str">
        <f>'[1]Data Port'!$G$64</f>
        <v>411 2nd Street</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 customHeight="1">
      <c r="D234" s="4" t="s">
        <v>579</v>
      </c>
      <c r="E234" s="4"/>
      <c r="M234" s="1418" t="str">
        <f>'[1]Data Port'!$G$65</f>
        <v>Oakland</v>
      </c>
      <c r="N234" s="1418"/>
      <c r="O234" s="1418"/>
      <c r="P234" s="1418"/>
      <c r="Q234" s="1418"/>
      <c r="R234" s="1418"/>
      <c r="S234" s="1418"/>
      <c r="T234" s="1418"/>
      <c r="V234" s="33" t="s">
        <v>86</v>
      </c>
      <c r="W234" s="1438" t="str">
        <f>'[1]Data Port'!$G$66</f>
        <v>CA</v>
      </c>
      <c r="X234" s="1438"/>
      <c r="Y234" s="4" t="s">
        <v>582</v>
      </c>
      <c r="AC234" s="1418">
        <f>'[1]Data Port'!$G$67</f>
        <v>94607</v>
      </c>
      <c r="AD234" s="1418"/>
      <c r="AE234" s="1418"/>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418" t="str">
        <f>'[1]Data Port'!$G$66</f>
        <v>CA</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f>'[1]Data Port'!$G$69</f>
        <v>8584495270</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 customHeight="1">
      <c r="D237" s="4" t="s">
        <v>90</v>
      </c>
      <c r="E237" s="4"/>
      <c r="F237" s="4"/>
      <c r="M237" s="1789" t="str">
        <f>'[1]Data Port'!$G$70</f>
        <v>jeremy@owow.com</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49" t="str">
        <f>'[1]Data Port'!$G$72</f>
        <v>Other</v>
      </c>
      <c r="N238" s="1349"/>
      <c r="O238" s="1349"/>
      <c r="P238" s="1349"/>
      <c r="Q238" s="1349"/>
      <c r="R238" s="1349"/>
      <c r="S238" s="1349"/>
      <c r="T238" s="1349"/>
      <c r="U238" s="204" t="s">
        <v>905</v>
      </c>
      <c r="V238" s="204"/>
      <c r="W238" s="204"/>
      <c r="X238" s="204"/>
      <c r="Y238" s="204"/>
      <c r="Z238" s="204"/>
      <c r="AA238" s="1777" t="str">
        <f>'[1]Data Port'!$G$73</f>
        <v>3400 Broadway LLC</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372" t="str">
        <f>'[1]Data Port'!$G$74</f>
        <v>A Limited Liability Company</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 customHeight="1">
      <c r="D240" s="4"/>
      <c r="BB240" s="204" t="s">
        <v>876</v>
      </c>
      <c r="BG240" s="241">
        <f>IF(AND(AND($M$249="for profit",$M$257="for profit",$M$265="for profit")),3,0)</f>
        <v>0</v>
      </c>
    </row>
    <row r="241" spans="1:67" ht="12.9"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422" t="str">
        <f>'[1]Data Port'!$G$76</f>
        <v>3400 Broadway LLC</v>
      </c>
      <c r="N243" s="1422"/>
      <c r="O243" s="1422"/>
      <c r="P243" s="1422"/>
      <c r="Q243" s="1422"/>
      <c r="R243" s="1422"/>
      <c r="S243" s="1422"/>
      <c r="T243" s="1422"/>
      <c r="U243" s="1422"/>
      <c r="V243" s="1422"/>
      <c r="W243" s="1422"/>
      <c r="X243" s="1422"/>
      <c r="Y243" s="1422"/>
      <c r="Z243" s="1422"/>
      <c r="AA243" s="1422"/>
      <c r="AB243" s="1422"/>
      <c r="AC243" s="1422"/>
      <c r="AD243" s="1422"/>
      <c r="AE243" s="1422"/>
      <c r="AF243" s="1422" t="str">
        <f>'[1]Data Port'!$G$77</f>
        <v>Administrative GP</v>
      </c>
      <c r="AG243" s="1422"/>
      <c r="AH243" s="1422"/>
      <c r="AI243" s="1422"/>
      <c r="AJ243" s="1422"/>
      <c r="AK243" s="1422"/>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18" t="str">
        <f>'[1]Data Port'!$G$78</f>
        <v>411 2nd Street</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307</v>
      </c>
      <c r="BG244">
        <v>1</v>
      </c>
      <c r="BH244" t="s">
        <v>533</v>
      </c>
    </row>
    <row r="245" spans="1:67" ht="12.9" customHeight="1">
      <c r="A245" s="19"/>
      <c r="B245" s="4"/>
      <c r="C245" s="4"/>
      <c r="D245" s="4" t="s">
        <v>579</v>
      </c>
      <c r="E245" s="4"/>
      <c r="M245" s="1418" t="str">
        <f>'[1]Data Port'!$G$79</f>
        <v>Oakland</v>
      </c>
      <c r="N245" s="1418"/>
      <c r="O245" s="1418"/>
      <c r="P245" s="1418"/>
      <c r="Q245" s="1418"/>
      <c r="R245" s="1418"/>
      <c r="S245" s="1418"/>
      <c r="T245" s="1418"/>
      <c r="V245" s="33" t="s">
        <v>86</v>
      </c>
      <c r="W245" s="1438" t="str">
        <f>'[1]Data Port'!$G$80</f>
        <v>CA</v>
      </c>
      <c r="X245" s="1438"/>
      <c r="Y245" s="4" t="s">
        <v>582</v>
      </c>
      <c r="AC245" s="1418">
        <f>'[1]Data Port'!$G$81</f>
        <v>94607</v>
      </c>
      <c r="AD245" s="1418"/>
      <c r="AE245" s="1418"/>
      <c r="AF245" s="3" t="s">
        <v>1178</v>
      </c>
      <c r="AU245" s="4"/>
      <c r="AV245" s="4"/>
      <c r="AW245" s="4"/>
      <c r="AX245" s="4"/>
      <c r="AY245" s="4"/>
      <c r="BB245" s="4" t="s">
        <v>280</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418" t="str">
        <f>'[1]Data Port'!$G$82</f>
        <v>Jeremy Harris</v>
      </c>
      <c r="N246" s="1418"/>
      <c r="O246" s="1418"/>
      <c r="P246" s="1418"/>
      <c r="Q246" s="1418"/>
      <c r="R246" s="1418"/>
      <c r="S246" s="1418"/>
      <c r="T246" s="1418"/>
      <c r="U246" s="1418"/>
      <c r="V246" s="1418"/>
      <c r="W246" s="1418"/>
      <c r="X246" s="1418"/>
      <c r="Y246" s="1418"/>
      <c r="Z246" s="1418"/>
      <c r="AA246" s="1418"/>
      <c r="AB246" s="1418"/>
      <c r="AC246" s="1418"/>
      <c r="AD246" s="1418"/>
      <c r="AE246" s="1418"/>
      <c r="AH246" s="1779">
        <f>'[1]Data Port'!$G$87</f>
        <v>1E-3</v>
      </c>
      <c r="AI246" s="1779"/>
      <c r="AJ246" s="1779"/>
      <c r="AK246" s="1779"/>
      <c r="AL246" s="4"/>
      <c r="AM246" s="4"/>
      <c r="AN246" s="4"/>
      <c r="AO246" s="4"/>
      <c r="AP246" s="4"/>
      <c r="AQ246" s="4"/>
      <c r="AR246" s="4"/>
      <c r="AS246" s="4"/>
      <c r="AT246" s="4"/>
      <c r="BB246" s="4" t="s">
        <v>173</v>
      </c>
      <c r="BG246">
        <v>3</v>
      </c>
      <c r="BH246" t="s">
        <v>535</v>
      </c>
      <c r="BN246" s="34"/>
    </row>
    <row r="247" spans="1:67" ht="12.9" customHeight="1">
      <c r="A247" s="19"/>
      <c r="B247" s="4"/>
      <c r="C247" s="4"/>
      <c r="D247" s="4" t="s">
        <v>88</v>
      </c>
      <c r="E247" s="4"/>
      <c r="F247" s="4"/>
      <c r="M247" s="1346">
        <f>'[1]Data Port'!$G$83</f>
        <v>8584495270</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 customHeight="1">
      <c r="A248" s="19"/>
      <c r="B248" s="4"/>
      <c r="C248" s="4"/>
      <c r="D248" s="4" t="s">
        <v>90</v>
      </c>
      <c r="E248" s="4"/>
      <c r="F248" s="4"/>
      <c r="M248" s="1789" t="str">
        <f>'[1]Data Port'!$G$84</f>
        <v>jeremy@owow.com</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49" t="str">
        <f>'[1]Data Port'!$G$85</f>
        <v>For Profit</v>
      </c>
      <c r="N249" s="1349"/>
      <c r="O249" s="1349"/>
      <c r="P249" s="1349"/>
      <c r="Q249" s="1349"/>
      <c r="R249" s="1349"/>
      <c r="S249" s="1349"/>
      <c r="T249" s="1349"/>
      <c r="U249" s="204" t="s">
        <v>905</v>
      </c>
      <c r="V249" s="204"/>
      <c r="W249" s="204"/>
      <c r="X249" s="204"/>
      <c r="Y249" s="204"/>
      <c r="Z249" s="204"/>
      <c r="AA249" s="1777" t="str">
        <f>'[1]Data Port'!$G$86</f>
        <v>3400 Broadway LLC</v>
      </c>
      <c r="AB249" s="1777"/>
      <c r="AC249" s="1777"/>
      <c r="AD249" s="1777"/>
      <c r="AE249" s="1777"/>
      <c r="AF249" s="1777"/>
      <c r="AG249" s="1777"/>
      <c r="AH249" s="1777"/>
      <c r="AI249" s="1777"/>
      <c r="AJ249" s="1777"/>
      <c r="AK249" s="177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954</v>
      </c>
      <c r="E251" s="4"/>
      <c r="F251" s="4"/>
      <c r="G251" s="4"/>
      <c r="H251" s="4"/>
      <c r="I251" s="4"/>
      <c r="J251" s="4"/>
      <c r="K251" s="4"/>
      <c r="L251" s="4"/>
      <c r="M251" s="1422" t="str">
        <f>'[1]Data Port'!$G$89</f>
        <v>Community Housing Works</v>
      </c>
      <c r="N251" s="1422"/>
      <c r="O251" s="1422"/>
      <c r="P251" s="1422"/>
      <c r="Q251" s="1422"/>
      <c r="R251" s="1422"/>
      <c r="S251" s="1422"/>
      <c r="T251" s="1422"/>
      <c r="U251" s="1422"/>
      <c r="V251" s="1422"/>
      <c r="W251" s="1422"/>
      <c r="X251" s="1422"/>
      <c r="Y251" s="1422"/>
      <c r="Z251" s="1422"/>
      <c r="AA251" s="1422"/>
      <c r="AB251" s="1422"/>
      <c r="AC251" s="1422"/>
      <c r="AD251" s="1422"/>
      <c r="AE251" s="1422"/>
      <c r="AF251" s="1422" t="str">
        <f>'[1]Data Port'!$G$90</f>
        <v>Managing GP</v>
      </c>
      <c r="AG251" s="1422"/>
      <c r="AH251" s="1422"/>
      <c r="AI251" s="1422"/>
      <c r="AJ251" s="1422"/>
      <c r="AK251" s="1422"/>
      <c r="AU251" s="4"/>
      <c r="AV251" s="4"/>
      <c r="AW251" s="4"/>
      <c r="AX251" s="4"/>
      <c r="AY251" s="4"/>
      <c r="BN251" s="34"/>
    </row>
    <row r="252" spans="1:67" ht="12.9" customHeight="1">
      <c r="A252" s="19"/>
      <c r="B252" s="4"/>
      <c r="C252" s="4"/>
      <c r="D252" s="4" t="s">
        <v>85</v>
      </c>
      <c r="E252" s="4"/>
      <c r="F252" s="4"/>
      <c r="G252" s="4"/>
      <c r="H252" s="4"/>
      <c r="I252" s="4"/>
      <c r="J252" s="4"/>
      <c r="K252" s="4"/>
      <c r="L252" s="4"/>
      <c r="M252" s="1418" t="str">
        <f>'[1]Data Port'!$G$91</f>
        <v>3111 Camino Del Rio N, Suite 800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 customHeight="1">
      <c r="A253" s="19"/>
      <c r="B253" s="4"/>
      <c r="C253" s="4"/>
      <c r="D253" s="4" t="s">
        <v>579</v>
      </c>
      <c r="E253" s="4"/>
      <c r="M253" s="1418" t="str">
        <f>'[1]Data Port'!$G$92</f>
        <v>San Diego</v>
      </c>
      <c r="N253" s="1418"/>
      <c r="O253" s="1418"/>
      <c r="P253" s="1418"/>
      <c r="Q253" s="1418"/>
      <c r="R253" s="1418"/>
      <c r="S253" s="1418"/>
      <c r="T253" s="1418"/>
      <c r="V253" s="33" t="s">
        <v>86</v>
      </c>
      <c r="W253" s="1438"/>
      <c r="X253" s="1438"/>
      <c r="Y253" s="4" t="s">
        <v>582</v>
      </c>
      <c r="AC253" s="1418"/>
      <c r="AD253" s="1418"/>
      <c r="AE253" s="1418"/>
      <c r="AF253" s="3" t="s">
        <v>1178</v>
      </c>
      <c r="AU253" s="4"/>
      <c r="AV253" s="4"/>
      <c r="AW253" s="4"/>
      <c r="AX253" s="4"/>
      <c r="AY253" s="4"/>
      <c r="BN253" s="34"/>
    </row>
    <row r="254" spans="1:67" ht="12.9" customHeight="1">
      <c r="A254" s="19"/>
      <c r="B254" s="4"/>
      <c r="C254" s="4"/>
      <c r="D254" s="4" t="s">
        <v>87</v>
      </c>
      <c r="E254" s="4"/>
      <c r="F254" s="4"/>
      <c r="G254" s="4"/>
      <c r="H254" s="4"/>
      <c r="I254" s="4"/>
      <c r="J254" s="4"/>
      <c r="K254" s="4"/>
      <c r="L254" s="19"/>
      <c r="M254" s="1418" t="str">
        <f>'[1]Data Port'!$G$95</f>
        <v>Kevin Leichner</v>
      </c>
      <c r="N254" s="1418"/>
      <c r="O254" s="1418"/>
      <c r="P254" s="1418"/>
      <c r="Q254" s="1418"/>
      <c r="R254" s="1418"/>
      <c r="S254" s="1418"/>
      <c r="T254" s="1418"/>
      <c r="U254" s="1418"/>
      <c r="V254" s="1418"/>
      <c r="W254" s="1418"/>
      <c r="X254" s="1418"/>
      <c r="Y254" s="1418"/>
      <c r="Z254" s="1418"/>
      <c r="AA254" s="1418"/>
      <c r="AB254" s="1418"/>
      <c r="AC254" s="1418"/>
      <c r="AD254" s="1418"/>
      <c r="AE254" s="1418"/>
      <c r="AH254" s="1779">
        <f>'[1]Data Port'!$G$100</f>
        <v>1E-3</v>
      </c>
      <c r="AI254" s="1779"/>
      <c r="AJ254" s="1779"/>
      <c r="AK254" s="1779"/>
      <c r="AL254" s="4"/>
      <c r="AM254" s="4"/>
      <c r="AN254" s="4"/>
      <c r="AO254" s="4"/>
      <c r="AP254" s="4"/>
      <c r="AQ254" s="4"/>
      <c r="AR254" s="4"/>
      <c r="AS254" s="4"/>
      <c r="AT254" s="4"/>
    </row>
    <row r="255" spans="1:67" ht="12.9" customHeight="1">
      <c r="A255" s="19"/>
      <c r="B255" s="4"/>
      <c r="C255" s="4"/>
      <c r="D255" s="4" t="s">
        <v>88</v>
      </c>
      <c r="E255" s="4"/>
      <c r="F255" s="4"/>
      <c r="M255" s="1346" t="str">
        <f>'[1]Data Port'!$G$96</f>
        <v>619.795.0213</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2.9" customHeight="1">
      <c r="A256" s="19"/>
      <c r="B256" s="4"/>
      <c r="C256" s="4"/>
      <c r="D256" s="4" t="s">
        <v>90</v>
      </c>
      <c r="E256" s="4"/>
      <c r="F256" s="4"/>
      <c r="M256" s="1789" t="str">
        <f>'[1]Data Port'!$G$97</f>
        <v>kleichner@chworks.org</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49" t="str">
        <f>'[1]Data Port'!$G$98</f>
        <v>Nonprofit</v>
      </c>
      <c r="N257" s="1349"/>
      <c r="O257" s="1349"/>
      <c r="P257" s="1349"/>
      <c r="Q257" s="1349"/>
      <c r="R257" s="1349"/>
      <c r="S257" s="1349"/>
      <c r="T257" s="1349"/>
      <c r="U257" s="204" t="s">
        <v>905</v>
      </c>
      <c r="V257" s="204"/>
      <c r="W257" s="204"/>
      <c r="X257" s="204"/>
      <c r="Y257" s="204"/>
      <c r="Z257" s="204"/>
      <c r="AA257" s="1777" t="str">
        <f>'[1]Data Port'!$G$99</f>
        <v>Community Housing Works</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875</v>
      </c>
      <c r="D259" s="4" t="s">
        <v>531</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418"/>
      <c r="N261" s="1418"/>
      <c r="O261" s="1418"/>
      <c r="P261" s="1418"/>
      <c r="Q261" s="1418"/>
      <c r="R261" s="1418"/>
      <c r="S261" s="1418"/>
      <c r="T261" s="1418"/>
      <c r="V261" s="33" t="s">
        <v>86</v>
      </c>
      <c r="W261" s="1438"/>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49" t="s">
        <v>307</v>
      </c>
      <c r="N265" s="1349"/>
      <c r="O265" s="1349"/>
      <c r="P265" s="1349"/>
      <c r="Q265" s="1349"/>
      <c r="R265" s="1349"/>
      <c r="S265" s="1349"/>
      <c r="T265" s="1349"/>
      <c r="U265" s="204" t="s">
        <v>905</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953</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 customHeight="1">
      <c r="A270" s="4"/>
      <c r="B270" s="36">
        <v>0</v>
      </c>
      <c r="D270" s="1418" t="str">
        <f>'[1]Data Port'!$G$115</f>
        <v>to be formed</v>
      </c>
      <c r="E270" s="1418"/>
      <c r="F270" s="1418"/>
      <c r="G270" s="1418"/>
      <c r="H270" s="1418"/>
      <c r="J270" t="s">
        <v>279</v>
      </c>
      <c r="X270" s="1692">
        <f>'[1]Data Port'!$G$116</f>
        <v>46113</v>
      </c>
      <c r="Y270" s="1692"/>
      <c r="Z270" s="1692"/>
      <c r="AA270" s="1692"/>
      <c r="AB270" s="1692"/>
      <c r="AC270" s="1692"/>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776" t="str">
        <f>'[1]Data Port'!$G$118</f>
        <v>3400 Broadway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8" t="str">
        <f>'[1]Data Port'!$G$129</f>
        <v>3111 Camino Del Rio N, Suite 800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579</v>
      </c>
      <c r="E276" s="4"/>
      <c r="L276" s="1418" t="str">
        <f>'[1]Data Port'!$G$130</f>
        <v>San Diego, CA, 92108</v>
      </c>
      <c r="M276" s="1418"/>
      <c r="N276" s="1418"/>
      <c r="O276" s="1418"/>
      <c r="P276" s="1418"/>
      <c r="Q276" s="1418"/>
      <c r="R276" s="1418"/>
      <c r="S276" s="1418"/>
      <c r="U276" s="33" t="s">
        <v>86</v>
      </c>
      <c r="V276" s="1782" t="str">
        <f>'[1]Data Port'!$G$121</f>
        <v>CA</v>
      </c>
      <c r="W276" s="1438"/>
      <c r="X276" s="4" t="s">
        <v>582</v>
      </c>
      <c r="AB276" s="1810">
        <f>'[1]Data Port'!$G$122</f>
        <v>94607</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783" t="str">
        <f>'[1]Data Port'!$G$123</f>
        <v>Jeremy Harris</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f>'[1]Data Port'!$G$124</f>
        <v>8584495270</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2.9" customHeight="1">
      <c r="D279" s="4" t="s">
        <v>90</v>
      </c>
      <c r="E279" s="4"/>
      <c r="F279" s="4"/>
      <c r="L279" s="1788" t="str">
        <f>'[1]Data Port'!$G$125</f>
        <v>jeremy@owow.com</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 customHeight="1">
      <c r="D280" s="3" t="s">
        <v>622</v>
      </c>
      <c r="E280" s="3"/>
      <c r="F280" s="3"/>
      <c r="G280" s="3"/>
      <c r="H280" s="3"/>
      <c r="I280" s="3"/>
      <c r="L280" s="1781" t="str">
        <f>'[1]Data Port'!$G$126</f>
        <v>Developer and Managing Member of the AGP in the future to be formed LP</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424" t="s">
        <v>540</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372" t="str">
        <f>'[1]Data Port'!$G$128</f>
        <v>Community HousingWorks</v>
      </c>
      <c r="I287" s="1372"/>
      <c r="J287" s="1372"/>
      <c r="K287" s="1372"/>
      <c r="L287" s="1372"/>
      <c r="M287" s="1372"/>
      <c r="N287" s="1372"/>
      <c r="O287" s="1372"/>
      <c r="P287" s="1372"/>
      <c r="Q287" s="1372"/>
      <c r="R287" s="1372"/>
      <c r="T287" s="3" t="s">
        <v>566</v>
      </c>
      <c r="V287" s="3"/>
      <c r="W287" s="3"/>
      <c r="X287" s="3"/>
      <c r="Y287" s="3"/>
      <c r="AA287" s="1372" t="str">
        <f>'[1]Data Port'!$G$136</f>
        <v>oWOW Design LLC</v>
      </c>
      <c r="AB287" s="1372"/>
      <c r="AC287" s="1372"/>
      <c r="AD287" s="1372"/>
      <c r="AE287" s="1372"/>
      <c r="AF287" s="1372"/>
      <c r="AG287" s="1372"/>
      <c r="AH287" s="1372"/>
      <c r="AI287" s="1372"/>
      <c r="AJ287" s="1372"/>
      <c r="AK287" s="1372"/>
    </row>
    <row r="288" spans="1:51" ht="12.9" customHeight="1">
      <c r="B288" s="3" t="s">
        <v>470</v>
      </c>
      <c r="C288" s="3"/>
      <c r="D288" s="3"/>
      <c r="E288" s="3"/>
      <c r="F288" s="3"/>
      <c r="H288" s="1349" t="str">
        <f>'[1]Data Port'!$G$129</f>
        <v>3111 Camino Del Rio N, Suite 800</v>
      </c>
      <c r="I288" s="1349"/>
      <c r="J288" s="1349"/>
      <c r="K288" s="1349"/>
      <c r="L288" s="1349"/>
      <c r="M288" s="1349"/>
      <c r="N288" s="1349"/>
      <c r="O288" s="1349"/>
      <c r="P288" s="1349"/>
      <c r="Q288" s="1349"/>
      <c r="R288" s="1349"/>
      <c r="T288" s="3" t="s">
        <v>470</v>
      </c>
      <c r="V288" s="3"/>
      <c r="W288" s="3"/>
      <c r="X288" s="3"/>
      <c r="Y288" s="3"/>
      <c r="AA288" s="1349" t="str">
        <f>'[1]Data Port'!$G$137</f>
        <v>411 2nd Street</v>
      </c>
      <c r="AB288" s="1349"/>
      <c r="AC288" s="1349"/>
      <c r="AD288" s="1349"/>
      <c r="AE288" s="1349"/>
      <c r="AF288" s="1349"/>
      <c r="AG288" s="1349"/>
      <c r="AH288" s="1349"/>
      <c r="AI288" s="1349"/>
      <c r="AJ288" s="1349"/>
      <c r="AK288" s="1349"/>
    </row>
    <row r="289" spans="2:37" ht="12.9" customHeight="1">
      <c r="B289" s="3" t="s">
        <v>471</v>
      </c>
      <c r="C289" s="3"/>
      <c r="D289" s="3"/>
      <c r="E289" s="3"/>
      <c r="F289" s="3"/>
      <c r="H289" s="1349" t="str">
        <f>'[1]Data Port'!$G$130</f>
        <v>San Diego, CA, 92108</v>
      </c>
      <c r="I289" s="1349"/>
      <c r="J289" s="1349"/>
      <c r="K289" s="1349"/>
      <c r="L289" s="1349"/>
      <c r="M289" s="1349"/>
      <c r="N289" s="1349"/>
      <c r="O289" s="1349"/>
      <c r="P289" s="1349"/>
      <c r="Q289" s="1349"/>
      <c r="R289" s="1349"/>
      <c r="T289" s="3" t="s">
        <v>75</v>
      </c>
      <c r="V289" s="3"/>
      <c r="W289" s="3"/>
      <c r="X289" s="3"/>
      <c r="Y289" s="3"/>
      <c r="AA289" s="1349" t="str">
        <f>'[1]Data Port'!$G$138</f>
        <v>Oakland, CA 94607</v>
      </c>
      <c r="AB289" s="1349"/>
      <c r="AC289" s="1349"/>
      <c r="AD289" s="1349"/>
      <c r="AE289" s="1349"/>
      <c r="AF289" s="1349"/>
      <c r="AG289" s="1349"/>
      <c r="AH289" s="1349"/>
      <c r="AI289" s="1349"/>
      <c r="AJ289" s="1349"/>
      <c r="AK289" s="1349"/>
    </row>
    <row r="290" spans="2:37" ht="12.9" customHeight="1">
      <c r="B290" s="3" t="s">
        <v>87</v>
      </c>
      <c r="C290" s="3"/>
      <c r="D290" s="3"/>
      <c r="E290" s="3"/>
      <c r="F290" s="3"/>
      <c r="H290" s="1349" t="str">
        <f>'[1]Data Port'!$G$131</f>
        <v>Kevin Leichner</v>
      </c>
      <c r="I290" s="1349"/>
      <c r="J290" s="1349"/>
      <c r="K290" s="1349"/>
      <c r="L290" s="1349"/>
      <c r="M290" s="1349"/>
      <c r="N290" s="1349"/>
      <c r="O290" s="1349"/>
      <c r="P290" s="1349"/>
      <c r="Q290" s="1349"/>
      <c r="R290" s="1349"/>
      <c r="T290" s="3" t="s">
        <v>87</v>
      </c>
      <c r="V290" s="3"/>
      <c r="W290" s="3"/>
      <c r="X290" s="3"/>
      <c r="Y290" s="3"/>
      <c r="AA290" s="1349" t="str">
        <f>'[1]Data Port'!$G$139</f>
        <v>Mike Baker</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425" t="str">
        <f>'[1]Data Port'!$G$132</f>
        <v>619.795.0213</v>
      </c>
      <c r="I291" s="1425"/>
      <c r="J291" s="1425"/>
      <c r="K291" s="1425"/>
      <c r="L291" s="1425"/>
      <c r="M291" s="1425"/>
      <c r="N291" s="4" t="s">
        <v>206</v>
      </c>
      <c r="O291" s="4"/>
      <c r="P291" s="1418"/>
      <c r="Q291" s="1418"/>
      <c r="R291" s="1418"/>
      <c r="S291" s="3"/>
      <c r="T291" s="3" t="s">
        <v>88</v>
      </c>
      <c r="V291" s="3"/>
      <c r="W291" s="3"/>
      <c r="X291" s="3"/>
      <c r="Y291" s="3"/>
      <c r="AA291" s="1425" t="str">
        <f>'[1]Data Port'!$G$140</f>
        <v>(510) 214-3829‬</v>
      </c>
      <c r="AB291" s="1425"/>
      <c r="AC291" s="1425"/>
      <c r="AD291" s="1425"/>
      <c r="AE291" s="1425"/>
      <c r="AF291" s="1425"/>
      <c r="AG291" s="4" t="s">
        <v>206</v>
      </c>
      <c r="AH291" s="4"/>
      <c r="AI291" s="1418"/>
      <c r="AJ291" s="1418"/>
      <c r="AK291" s="1418"/>
    </row>
    <row r="292" spans="2:37" ht="12.9" customHeight="1">
      <c r="B292" s="3" t="s">
        <v>89</v>
      </c>
      <c r="C292" s="3"/>
      <c r="D292" s="3"/>
      <c r="E292" s="3"/>
      <c r="F292" s="3"/>
      <c r="G292" s="3"/>
      <c r="H292" s="1346">
        <f>'[1]Data Port'!$G$133</f>
        <v>0</v>
      </c>
      <c r="I292" s="1346"/>
      <c r="J292" s="1346"/>
      <c r="K292" s="1346"/>
      <c r="L292" s="1346"/>
      <c r="M292" s="1346"/>
      <c r="N292" s="4"/>
      <c r="O292" s="4"/>
      <c r="P292" s="35"/>
      <c r="Q292" s="35"/>
      <c r="R292" s="35"/>
      <c r="S292" s="3"/>
      <c r="T292" s="3" t="s">
        <v>89</v>
      </c>
      <c r="V292" s="3"/>
      <c r="W292" s="3"/>
      <c r="X292" s="3"/>
      <c r="Y292" s="3"/>
      <c r="AA292" s="1346">
        <f>'[1]Data Port'!$G$141</f>
        <v>0</v>
      </c>
      <c r="AB292" s="1346"/>
      <c r="AC292" s="1346"/>
      <c r="AD292" s="1346"/>
      <c r="AE292" s="1346"/>
      <c r="AF292" s="1346"/>
      <c r="AG292" s="4"/>
      <c r="AH292" s="4"/>
      <c r="AI292" s="35"/>
      <c r="AJ292" s="35"/>
      <c r="AK292" s="35"/>
    </row>
    <row r="293" spans="2:37" ht="12.9" customHeight="1">
      <c r="B293" s="3" t="s">
        <v>76</v>
      </c>
      <c r="C293" s="3"/>
      <c r="D293" s="3"/>
      <c r="E293" s="3"/>
      <c r="F293" s="3"/>
      <c r="G293" s="3"/>
      <c r="H293" s="1547" t="s">
        <v>2612</v>
      </c>
      <c r="I293" s="1349"/>
      <c r="J293" s="1349"/>
      <c r="K293" s="1349"/>
      <c r="L293" s="1349"/>
      <c r="M293" s="1349"/>
      <c r="N293" s="1372"/>
      <c r="O293" s="1372"/>
      <c r="P293" s="1372"/>
      <c r="Q293" s="1372"/>
      <c r="R293" s="1372"/>
      <c r="S293" s="3"/>
      <c r="T293" s="3" t="s">
        <v>76</v>
      </c>
      <c r="V293" s="3"/>
      <c r="W293" s="3"/>
      <c r="X293" s="3"/>
      <c r="Y293" s="3"/>
      <c r="AA293" s="1349" t="str">
        <f>'[1]Data Port'!$G$142</f>
        <v>mike.baker@owow.com</v>
      </c>
      <c r="AB293" s="1349"/>
      <c r="AC293" s="1349"/>
      <c r="AD293" s="1349"/>
      <c r="AE293" s="1349"/>
      <c r="AF293" s="1349"/>
      <c r="AG293" s="1372"/>
      <c r="AH293" s="1372"/>
      <c r="AI293" s="1372"/>
      <c r="AJ293" s="1372"/>
      <c r="AK293" s="137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2" t="str">
        <f>'[1]Data Port'!$G$144</f>
        <v>Sabelhaus &amp; Strain PC</v>
      </c>
      <c r="I295" s="1372"/>
      <c r="J295" s="1372"/>
      <c r="K295" s="1372"/>
      <c r="L295" s="1372"/>
      <c r="M295" s="1372"/>
      <c r="N295" s="1372"/>
      <c r="O295" s="1372"/>
      <c r="P295" s="1372"/>
      <c r="Q295" s="1372"/>
      <c r="R295" s="1372"/>
      <c r="T295" s="3" t="s">
        <v>364</v>
      </c>
      <c r="V295" s="3"/>
      <c r="W295" s="3"/>
      <c r="X295" s="3"/>
      <c r="Y295" s="3"/>
      <c r="AA295" s="1372" t="str">
        <f>'[1]Data Port'!$G$152</f>
        <v>oWOW Construction</v>
      </c>
      <c r="AB295" s="1372"/>
      <c r="AC295" s="1372"/>
      <c r="AD295" s="1372"/>
      <c r="AE295" s="1372"/>
      <c r="AF295" s="1372"/>
      <c r="AG295" s="1372"/>
      <c r="AH295" s="1372"/>
      <c r="AI295" s="1372"/>
      <c r="AJ295" s="1372"/>
      <c r="AK295" s="1372"/>
    </row>
    <row r="296" spans="2:37" ht="12.9" customHeight="1">
      <c r="B296" s="3" t="s">
        <v>470</v>
      </c>
      <c r="C296" s="3"/>
      <c r="D296" s="3"/>
      <c r="E296" s="3"/>
      <c r="F296" s="3"/>
      <c r="H296" s="1349" t="str">
        <f>'[1]Data Port'!$G$145</f>
        <v>1724 10th Street, Suite 110</v>
      </c>
      <c r="I296" s="1349"/>
      <c r="J296" s="1349"/>
      <c r="K296" s="1349"/>
      <c r="L296" s="1349"/>
      <c r="M296" s="1349"/>
      <c r="N296" s="1349"/>
      <c r="O296" s="1349"/>
      <c r="P296" s="1349"/>
      <c r="Q296" s="1349"/>
      <c r="R296" s="1349"/>
      <c r="T296" s="3" t="s">
        <v>470</v>
      </c>
      <c r="V296" s="3"/>
      <c r="W296" s="3"/>
      <c r="X296" s="3"/>
      <c r="Y296" s="3"/>
      <c r="AA296" s="1349" t="str">
        <f>'[1]Data Port'!$G$153</f>
        <v>411 2nd Street</v>
      </c>
      <c r="AB296" s="1349"/>
      <c r="AC296" s="1349"/>
      <c r="AD296" s="1349"/>
      <c r="AE296" s="1349"/>
      <c r="AF296" s="1349"/>
      <c r="AG296" s="1349"/>
      <c r="AH296" s="1349"/>
      <c r="AI296" s="1349"/>
      <c r="AJ296" s="1349"/>
      <c r="AK296" s="1349"/>
    </row>
    <row r="297" spans="2:37" ht="12.9" customHeight="1">
      <c r="B297" s="3" t="s">
        <v>471</v>
      </c>
      <c r="C297" s="3"/>
      <c r="D297" s="3"/>
      <c r="E297" s="3"/>
      <c r="F297" s="3"/>
      <c r="H297" s="1349" t="str">
        <f>'[1]Data Port'!$G$146</f>
        <v>Sacramento, CA 95811</v>
      </c>
      <c r="I297" s="1349"/>
      <c r="J297" s="1349"/>
      <c r="K297" s="1349"/>
      <c r="L297" s="1349"/>
      <c r="M297" s="1349"/>
      <c r="N297" s="1349"/>
      <c r="O297" s="1349"/>
      <c r="P297" s="1349"/>
      <c r="Q297" s="1349"/>
      <c r="R297" s="1349"/>
      <c r="T297" s="3" t="s">
        <v>75</v>
      </c>
      <c r="V297" s="3"/>
      <c r="W297" s="3"/>
      <c r="X297" s="3"/>
      <c r="Y297" s="3"/>
      <c r="AA297" s="1349" t="str">
        <f>'[1]Data Port'!$G$154</f>
        <v>Oakland, CA 94607</v>
      </c>
      <c r="AB297" s="1349"/>
      <c r="AC297" s="1349"/>
      <c r="AD297" s="1349"/>
      <c r="AE297" s="1349"/>
      <c r="AF297" s="1349"/>
      <c r="AG297" s="1349"/>
      <c r="AH297" s="1349"/>
      <c r="AI297" s="1349"/>
      <c r="AJ297" s="1349"/>
      <c r="AK297" s="1349"/>
    </row>
    <row r="298" spans="2:37" ht="12.9" customHeight="1">
      <c r="B298" s="3" t="s">
        <v>87</v>
      </c>
      <c r="C298" s="3"/>
      <c r="D298" s="3"/>
      <c r="E298" s="3"/>
      <c r="F298" s="3"/>
      <c r="H298" s="1349" t="str">
        <f>'[1]Data Port'!$G$147</f>
        <v>Stephen A. Strain</v>
      </c>
      <c r="I298" s="1349"/>
      <c r="J298" s="1349"/>
      <c r="K298" s="1349"/>
      <c r="L298" s="1349"/>
      <c r="M298" s="1349"/>
      <c r="N298" s="1349"/>
      <c r="O298" s="1349"/>
      <c r="P298" s="1349"/>
      <c r="Q298" s="1349"/>
      <c r="R298" s="1349"/>
      <c r="T298" s="3" t="s">
        <v>87</v>
      </c>
      <c r="V298" s="3"/>
      <c r="W298" s="3"/>
      <c r="X298" s="3"/>
      <c r="Y298" s="3"/>
      <c r="AA298" s="1349" t="str">
        <f>'[1]Data Port'!$G$155</f>
        <v>Andy Ball</v>
      </c>
      <c r="AB298" s="1349"/>
      <c r="AC298" s="1349"/>
      <c r="AD298" s="1349"/>
      <c r="AE298" s="1349"/>
      <c r="AF298" s="1349"/>
      <c r="AG298" s="1349"/>
      <c r="AH298" s="1349"/>
      <c r="AI298" s="1349"/>
      <c r="AJ298" s="1349"/>
      <c r="AK298" s="1349"/>
    </row>
    <row r="299" spans="2:37" ht="12.9" customHeight="1">
      <c r="B299" s="3" t="s">
        <v>88</v>
      </c>
      <c r="C299" s="3"/>
      <c r="D299" s="3"/>
      <c r="E299" s="3"/>
      <c r="F299" s="3"/>
      <c r="G299" s="3"/>
      <c r="H299" s="1425" t="str">
        <f>'[1]Data Port'!$G$148</f>
        <v>916.444.0286</v>
      </c>
      <c r="I299" s="1425"/>
      <c r="J299" s="1425"/>
      <c r="K299" s="1425"/>
      <c r="L299" s="1425"/>
      <c r="M299" s="1425"/>
      <c r="N299" s="4" t="s">
        <v>206</v>
      </c>
      <c r="O299" s="4"/>
      <c r="P299" s="1418"/>
      <c r="Q299" s="1418"/>
      <c r="R299" s="1418"/>
      <c r="S299" s="3"/>
      <c r="T299" s="3" t="s">
        <v>88</v>
      </c>
      <c r="V299" s="3"/>
      <c r="W299" s="3"/>
      <c r="X299" s="3"/>
      <c r="Y299" s="3"/>
      <c r="AA299" s="1425">
        <f>'[1]Data Port'!$G$156</f>
        <v>6504520268</v>
      </c>
      <c r="AB299" s="1425"/>
      <c r="AC299" s="1425"/>
      <c r="AD299" s="1425"/>
      <c r="AE299" s="1425"/>
      <c r="AF299" s="1425"/>
      <c r="AG299" s="4" t="s">
        <v>206</v>
      </c>
      <c r="AH299" s="4"/>
      <c r="AI299" s="1418"/>
      <c r="AJ299" s="1418"/>
      <c r="AK299" s="1418"/>
    </row>
    <row r="300" spans="2:37" ht="12.9" customHeight="1">
      <c r="B300" s="3" t="s">
        <v>89</v>
      </c>
      <c r="C300" s="3"/>
      <c r="D300" s="3"/>
      <c r="E300" s="3"/>
      <c r="F300" s="3"/>
      <c r="G300" s="3"/>
      <c r="H300" s="1346">
        <f>'[1]Data Port'!$G$149</f>
        <v>0</v>
      </c>
      <c r="I300" s="1346"/>
      <c r="J300" s="1346"/>
      <c r="K300" s="1346"/>
      <c r="L300" s="1346"/>
      <c r="M300" s="1346"/>
      <c r="N300" s="4"/>
      <c r="O300" s="4"/>
      <c r="P300" s="35"/>
      <c r="Q300" s="35"/>
      <c r="R300" s="35"/>
      <c r="S300" s="3"/>
      <c r="T300" s="3" t="s">
        <v>89</v>
      </c>
      <c r="V300" s="3"/>
      <c r="W300" s="3"/>
      <c r="X300" s="3"/>
      <c r="Y300" s="3"/>
      <c r="AA300" s="1346">
        <f>'[1]Data Port'!$G$157</f>
        <v>0</v>
      </c>
      <c r="AB300" s="1346"/>
      <c r="AC300" s="1346"/>
      <c r="AD300" s="1346"/>
      <c r="AE300" s="1346"/>
      <c r="AF300" s="1346"/>
      <c r="AG300" s="4"/>
      <c r="AH300" s="4"/>
      <c r="AI300" s="35"/>
      <c r="AJ300" s="35"/>
      <c r="AK300" s="35"/>
    </row>
    <row r="301" spans="2:37" ht="12.9" customHeight="1">
      <c r="B301" s="3" t="s">
        <v>76</v>
      </c>
      <c r="C301" s="3"/>
      <c r="D301" s="3"/>
      <c r="E301" s="3"/>
      <c r="F301" s="3"/>
      <c r="G301" s="3"/>
      <c r="H301" s="1349" t="str">
        <f>'[1]Data Port'!$G$150</f>
        <v>sstrain@sabelhauslaw.com</v>
      </c>
      <c r="I301" s="1349"/>
      <c r="J301" s="1349"/>
      <c r="K301" s="1349"/>
      <c r="L301" s="1349"/>
      <c r="M301" s="1349"/>
      <c r="N301" s="1372"/>
      <c r="O301" s="1372"/>
      <c r="P301" s="1372"/>
      <c r="Q301" s="1372"/>
      <c r="R301" s="1372"/>
      <c r="S301" s="3"/>
      <c r="T301" s="3" t="s">
        <v>76</v>
      </c>
      <c r="V301" s="3"/>
      <c r="W301" s="3"/>
      <c r="X301" s="3"/>
      <c r="Y301" s="3"/>
      <c r="AA301" s="1349" t="str">
        <f>'[1]Data Port'!$G$158</f>
        <v>andy@owow.com</v>
      </c>
      <c r="AB301" s="1349"/>
      <c r="AC301" s="1349"/>
      <c r="AD301" s="1349"/>
      <c r="AE301" s="1349"/>
      <c r="AF301" s="1349"/>
      <c r="AG301" s="1372"/>
      <c r="AH301" s="1372"/>
      <c r="AI301" s="1372"/>
      <c r="AJ301" s="1372"/>
      <c r="AK301" s="1372"/>
    </row>
    <row r="302" spans="2:37" ht="12.9" customHeight="1"/>
    <row r="303" spans="2:37" ht="12.9" customHeight="1">
      <c r="B303" s="3" t="s">
        <v>77</v>
      </c>
      <c r="C303" s="3"/>
      <c r="D303" s="3"/>
      <c r="E303" s="3"/>
      <c r="F303" s="3"/>
      <c r="H303" s="1372" t="str">
        <f>'[1]Data Port'!$G$160</f>
        <v>Bernard E. REA, CPA</v>
      </c>
      <c r="I303" s="1372"/>
      <c r="J303" s="1372"/>
      <c r="K303" s="1372"/>
      <c r="L303" s="1372"/>
      <c r="M303" s="1372"/>
      <c r="N303" s="1372"/>
      <c r="O303" s="1372"/>
      <c r="P303" s="1372"/>
      <c r="Q303" s="1372"/>
      <c r="R303" s="1372"/>
      <c r="T303" s="4" t="s">
        <v>877</v>
      </c>
      <c r="V303" s="3"/>
      <c r="W303" s="3"/>
      <c r="X303" s="3"/>
      <c r="Y303" s="3"/>
      <c r="AA303" s="1372" t="str">
        <f>'[1]Data Port'!$G$168</f>
        <v>FARD Engineers</v>
      </c>
      <c r="AB303" s="1372"/>
      <c r="AC303" s="1372"/>
      <c r="AD303" s="1372"/>
      <c r="AE303" s="1372"/>
      <c r="AF303" s="1372"/>
      <c r="AG303" s="1372"/>
      <c r="AH303" s="1372"/>
      <c r="AI303" s="1372"/>
      <c r="AJ303" s="1372"/>
      <c r="AK303" s="1372"/>
    </row>
    <row r="304" spans="2:37" ht="12.9" customHeight="1">
      <c r="B304" s="3" t="s">
        <v>470</v>
      </c>
      <c r="C304" s="3"/>
      <c r="D304" s="3"/>
      <c r="E304" s="3"/>
      <c r="F304" s="3"/>
      <c r="H304" s="1349" t="str">
        <f>'[1]Data Port'!$G$161</f>
        <v>P.O. Box 492</v>
      </c>
      <c r="I304" s="1349"/>
      <c r="J304" s="1349"/>
      <c r="K304" s="1349"/>
      <c r="L304" s="1349"/>
      <c r="M304" s="1349"/>
      <c r="N304" s="1349"/>
      <c r="O304" s="1349"/>
      <c r="P304" s="1349"/>
      <c r="Q304" s="1349"/>
      <c r="R304" s="1349"/>
      <c r="T304" s="3" t="s">
        <v>470</v>
      </c>
      <c r="V304" s="3"/>
      <c r="W304" s="3"/>
      <c r="X304" s="3"/>
      <c r="Y304" s="3"/>
      <c r="AA304" s="1349" t="str">
        <f>'[1]Data Port'!$G$169</f>
        <v>200 Gregory Lane, Building A</v>
      </c>
      <c r="AB304" s="1349"/>
      <c r="AC304" s="1349"/>
      <c r="AD304" s="1349"/>
      <c r="AE304" s="1349"/>
      <c r="AF304" s="1349"/>
      <c r="AG304" s="1349"/>
      <c r="AH304" s="1349"/>
      <c r="AI304" s="1349"/>
      <c r="AJ304" s="1349"/>
      <c r="AK304" s="1349"/>
    </row>
    <row r="305" spans="2:37" ht="12.9" customHeight="1">
      <c r="B305" s="3" t="s">
        <v>471</v>
      </c>
      <c r="C305" s="3"/>
      <c r="D305" s="3"/>
      <c r="E305" s="3"/>
      <c r="F305" s="3"/>
      <c r="H305" s="1349" t="str">
        <f>'[1]Data Port'!$G$162</f>
        <v>Aubrey, TX 76227</v>
      </c>
      <c r="I305" s="1349"/>
      <c r="J305" s="1349"/>
      <c r="K305" s="1349"/>
      <c r="L305" s="1349"/>
      <c r="M305" s="1349"/>
      <c r="N305" s="1349"/>
      <c r="O305" s="1349"/>
      <c r="P305" s="1349"/>
      <c r="Q305" s="1349"/>
      <c r="R305" s="1349"/>
      <c r="T305" s="3" t="s">
        <v>75</v>
      </c>
      <c r="V305" s="3"/>
      <c r="W305" s="3"/>
      <c r="X305" s="3"/>
      <c r="Y305" s="3"/>
      <c r="AA305" s="1349" t="str">
        <f>'[1]Data Port'!$G$170</f>
        <v>Pleasant Hill, CA 94523</v>
      </c>
      <c r="AB305" s="1349"/>
      <c r="AC305" s="1349"/>
      <c r="AD305" s="1349"/>
      <c r="AE305" s="1349"/>
      <c r="AF305" s="1349"/>
      <c r="AG305" s="1349"/>
      <c r="AH305" s="1349"/>
      <c r="AI305" s="1349"/>
      <c r="AJ305" s="1349"/>
      <c r="AK305" s="1349"/>
    </row>
    <row r="306" spans="2:37" ht="12.9" customHeight="1">
      <c r="B306" s="3" t="s">
        <v>87</v>
      </c>
      <c r="C306" s="3"/>
      <c r="D306" s="3"/>
      <c r="E306" s="3"/>
      <c r="F306" s="3"/>
      <c r="H306" s="1349" t="str">
        <f>'[1]Data Port'!$G$163</f>
        <v>Bernard E. REA</v>
      </c>
      <c r="I306" s="1349"/>
      <c r="J306" s="1349"/>
      <c r="K306" s="1349"/>
      <c r="L306" s="1349"/>
      <c r="M306" s="1349"/>
      <c r="N306" s="1349"/>
      <c r="O306" s="1349"/>
      <c r="P306" s="1349"/>
      <c r="Q306" s="1349"/>
      <c r="R306" s="1349"/>
      <c r="T306" s="3" t="s">
        <v>87</v>
      </c>
      <c r="V306" s="3"/>
      <c r="W306" s="3"/>
      <c r="X306" s="3"/>
      <c r="Y306" s="3"/>
      <c r="AA306" s="1349" t="str">
        <f>'[1]Data Port'!$G$171</f>
        <v>Avery Colter</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5" t="str">
        <f>'[1]Data Port'!$G$164</f>
        <v>209.933.9113</v>
      </c>
      <c r="I307" s="1425"/>
      <c r="J307" s="1425"/>
      <c r="K307" s="1425"/>
      <c r="L307" s="1425"/>
      <c r="M307" s="1425"/>
      <c r="N307" s="4" t="s">
        <v>206</v>
      </c>
      <c r="O307" s="4"/>
      <c r="P307" s="1418"/>
      <c r="Q307" s="1418"/>
      <c r="R307" s="1418"/>
      <c r="S307" s="3"/>
      <c r="T307" s="3" t="s">
        <v>88</v>
      </c>
      <c r="V307" s="3"/>
      <c r="W307" s="3"/>
      <c r="X307" s="3"/>
      <c r="Y307" s="3"/>
      <c r="AA307" s="1425" t="str">
        <f>'[1]Data Port'!$G$172</f>
        <v>925.446.6185</v>
      </c>
      <c r="AB307" s="1425"/>
      <c r="AC307" s="1425"/>
      <c r="AD307" s="1425"/>
      <c r="AE307" s="1425"/>
      <c r="AF307" s="1425"/>
      <c r="AG307" s="4" t="s">
        <v>206</v>
      </c>
      <c r="AH307" s="4"/>
      <c r="AI307" s="1418"/>
      <c r="AJ307" s="1418"/>
      <c r="AK307" s="1418"/>
    </row>
    <row r="308" spans="2:37" ht="12.9" customHeight="1">
      <c r="B308" s="3" t="s">
        <v>89</v>
      </c>
      <c r="C308" s="3"/>
      <c r="D308" s="3"/>
      <c r="E308" s="3"/>
      <c r="F308" s="3"/>
      <c r="G308" s="3"/>
      <c r="H308" s="1346">
        <f>'[1]Data Port'!$G$165</f>
        <v>0</v>
      </c>
      <c r="I308" s="1346"/>
      <c r="J308" s="1346"/>
      <c r="K308" s="1346"/>
      <c r="L308" s="1346"/>
      <c r="M308" s="1346"/>
      <c r="N308" s="4"/>
      <c r="O308" s="4"/>
      <c r="P308" s="35"/>
      <c r="Q308" s="35"/>
      <c r="R308" s="35"/>
      <c r="S308" s="3"/>
      <c r="T308" s="3" t="s">
        <v>89</v>
      </c>
      <c r="V308" s="3"/>
      <c r="W308" s="3"/>
      <c r="X308" s="3"/>
      <c r="Y308" s="3"/>
      <c r="AA308" s="1346">
        <f>'[1]Data Port'!$G$173</f>
        <v>0</v>
      </c>
      <c r="AB308" s="1346"/>
      <c r="AC308" s="1346"/>
      <c r="AD308" s="1346"/>
      <c r="AE308" s="1346"/>
      <c r="AF308" s="1346"/>
      <c r="AG308" s="4"/>
      <c r="AH308" s="4"/>
      <c r="AI308" s="35"/>
      <c r="AJ308" s="35"/>
      <c r="AK308" s="35"/>
    </row>
    <row r="309" spans="2:37" ht="12.9" customHeight="1">
      <c r="B309" s="3" t="s">
        <v>76</v>
      </c>
      <c r="C309" s="3"/>
      <c r="D309" s="3"/>
      <c r="E309" s="3"/>
      <c r="F309" s="3"/>
      <c r="G309" s="3"/>
      <c r="H309" s="1349" t="str">
        <f>'[1]Data Port'!$G$166</f>
        <v>BReaCPA@AOL.com</v>
      </c>
      <c r="I309" s="1349"/>
      <c r="J309" s="1349"/>
      <c r="K309" s="1349"/>
      <c r="L309" s="1349"/>
      <c r="M309" s="1349"/>
      <c r="N309" s="1372"/>
      <c r="O309" s="1372"/>
      <c r="P309" s="1372"/>
      <c r="Q309" s="1372"/>
      <c r="R309" s="1372"/>
      <c r="S309" s="3"/>
      <c r="T309" s="3" t="s">
        <v>76</v>
      </c>
      <c r="V309" s="3"/>
      <c r="W309" s="3"/>
      <c r="X309" s="3"/>
      <c r="Y309" s="3"/>
      <c r="AA309" s="1349" t="str">
        <f>'[1]Data Port'!$G$174</f>
        <v>avery@fard.com</v>
      </c>
      <c r="AB309" s="1349"/>
      <c r="AC309" s="1349"/>
      <c r="AD309" s="1349"/>
      <c r="AE309" s="1349"/>
      <c r="AF309" s="1349"/>
      <c r="AG309" s="1372"/>
      <c r="AH309" s="1372"/>
      <c r="AI309" s="1372"/>
      <c r="AJ309" s="1372"/>
      <c r="AK309" s="137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906</v>
      </c>
      <c r="C311" s="3"/>
      <c r="D311" s="3"/>
      <c r="E311" s="3"/>
      <c r="F311" s="3"/>
      <c r="H311" s="1372" t="str">
        <f>'[1]Data Port'!$G$176</f>
        <v>Bernard E. REA, CPA</v>
      </c>
      <c r="I311" s="1372"/>
      <c r="J311" s="1372"/>
      <c r="K311" s="1372"/>
      <c r="L311" s="1372"/>
      <c r="M311" s="1372"/>
      <c r="N311" s="1372"/>
      <c r="O311" s="1372"/>
      <c r="P311" s="1372"/>
      <c r="Q311" s="1372"/>
      <c r="R311" s="1372"/>
      <c r="S311" s="3"/>
      <c r="T311" s="3" t="s">
        <v>365</v>
      </c>
      <c r="V311" s="3"/>
      <c r="W311" s="3"/>
      <c r="X311" s="3"/>
      <c r="Y311" s="3"/>
      <c r="AA311" s="1372" t="str">
        <f>'[1]Data Port'!$G$184</f>
        <v>Key CDC</v>
      </c>
      <c r="AB311" s="1372"/>
      <c r="AC311" s="1372"/>
      <c r="AD311" s="1372"/>
      <c r="AE311" s="1372"/>
      <c r="AF311" s="1372"/>
      <c r="AG311" s="1372"/>
      <c r="AH311" s="1372"/>
      <c r="AI311" s="1372"/>
      <c r="AJ311" s="1372"/>
      <c r="AK311" s="1372"/>
    </row>
    <row r="312" spans="2:37" ht="12.9" customHeight="1">
      <c r="B312" s="3" t="s">
        <v>470</v>
      </c>
      <c r="C312" s="3"/>
      <c r="D312" s="3"/>
      <c r="E312" s="3"/>
      <c r="F312" s="3"/>
      <c r="H312" s="1349" t="str">
        <f>'[1]Data Port'!$G$177</f>
        <v>P.O. Box 492</v>
      </c>
      <c r="I312" s="1349"/>
      <c r="J312" s="1349"/>
      <c r="K312" s="1349"/>
      <c r="L312" s="1349"/>
      <c r="M312" s="1349"/>
      <c r="N312" s="1349"/>
      <c r="O312" s="1349"/>
      <c r="P312" s="1349"/>
      <c r="Q312" s="1349"/>
      <c r="R312" s="1349"/>
      <c r="S312" s="3"/>
      <c r="T312" s="3" t="s">
        <v>470</v>
      </c>
      <c r="V312" s="3"/>
      <c r="W312" s="3"/>
      <c r="X312" s="3"/>
      <c r="Y312" s="3"/>
      <c r="AA312" s="1349" t="str">
        <f>'[1]Data Port'!$G$185</f>
        <v>1675 Broadway</v>
      </c>
      <c r="AB312" s="1349"/>
      <c r="AC312" s="1349"/>
      <c r="AD312" s="1349"/>
      <c r="AE312" s="1349"/>
      <c r="AF312" s="1349"/>
      <c r="AG312" s="1349"/>
      <c r="AH312" s="1349"/>
      <c r="AI312" s="1349"/>
      <c r="AJ312" s="1349"/>
      <c r="AK312" s="1349"/>
    </row>
    <row r="313" spans="2:37" ht="12.9" customHeight="1">
      <c r="B313" s="3" t="s">
        <v>471</v>
      </c>
      <c r="C313" s="3"/>
      <c r="D313" s="3"/>
      <c r="E313" s="3"/>
      <c r="F313" s="3"/>
      <c r="H313" s="1349" t="str">
        <f>'[1]Data Port'!$G$178</f>
        <v>Aubrey, TX 76227</v>
      </c>
      <c r="I313" s="1349"/>
      <c r="J313" s="1349"/>
      <c r="K313" s="1349"/>
      <c r="L313" s="1349"/>
      <c r="M313" s="1349"/>
      <c r="N313" s="1349"/>
      <c r="O313" s="1349"/>
      <c r="P313" s="1349"/>
      <c r="Q313" s="1349"/>
      <c r="R313" s="1349"/>
      <c r="S313" s="3"/>
      <c r="T313" s="3" t="s">
        <v>75</v>
      </c>
      <c r="V313" s="3"/>
      <c r="W313" s="3"/>
      <c r="X313" s="3"/>
      <c r="Y313" s="3"/>
      <c r="AA313" s="1349" t="str">
        <f>'[1]Data Port'!$G$186</f>
        <v>Denver, CO 80202</v>
      </c>
      <c r="AB313" s="1349"/>
      <c r="AC313" s="1349"/>
      <c r="AD313" s="1349"/>
      <c r="AE313" s="1349"/>
      <c r="AF313" s="1349"/>
      <c r="AG313" s="1349"/>
      <c r="AH313" s="1349"/>
      <c r="AI313" s="1349"/>
      <c r="AJ313" s="1349"/>
      <c r="AK313" s="1349"/>
    </row>
    <row r="314" spans="2:37" ht="12.9" customHeight="1">
      <c r="B314" s="3" t="s">
        <v>87</v>
      </c>
      <c r="C314" s="3"/>
      <c r="D314" s="3"/>
      <c r="E314" s="3"/>
      <c r="F314" s="3"/>
      <c r="H314" s="1349" t="str">
        <f>'[1]Data Port'!$G$179</f>
        <v>Bernard E. REA</v>
      </c>
      <c r="I314" s="1349"/>
      <c r="J314" s="1349"/>
      <c r="K314" s="1349"/>
      <c r="L314" s="1349"/>
      <c r="M314" s="1349"/>
      <c r="N314" s="1349"/>
      <c r="O314" s="1349"/>
      <c r="P314" s="1349"/>
      <c r="Q314" s="1349"/>
      <c r="R314" s="1349"/>
      <c r="S314" s="3"/>
      <c r="T314" s="3" t="s">
        <v>87</v>
      </c>
      <c r="V314" s="3"/>
      <c r="W314" s="3"/>
      <c r="X314" s="3"/>
      <c r="Y314" s="3"/>
      <c r="AA314" s="1349" t="str">
        <f>'[1]Data Port'!$G$187</f>
        <v>Eileen Tran</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425" t="str">
        <f>'[1]Data Port'!$G$180</f>
        <v>209.933.9113</v>
      </c>
      <c r="I315" s="1425"/>
      <c r="J315" s="1425"/>
      <c r="K315" s="1425"/>
      <c r="L315" s="1425"/>
      <c r="M315" s="1425"/>
      <c r="N315" s="4" t="s">
        <v>206</v>
      </c>
      <c r="O315" s="4"/>
      <c r="P315" s="1418"/>
      <c r="Q315" s="1418"/>
      <c r="R315" s="1418"/>
      <c r="S315" s="3"/>
      <c r="T315" s="3" t="s">
        <v>88</v>
      </c>
      <c r="V315" s="3"/>
      <c r="W315" s="3"/>
      <c r="X315" s="3"/>
      <c r="Y315" s="3"/>
      <c r="AA315" s="1425" t="str">
        <f>'[1]Data Port'!$G$188</f>
        <v>720.904.4091</v>
      </c>
      <c r="AB315" s="1425"/>
      <c r="AC315" s="1425"/>
      <c r="AD315" s="1425"/>
      <c r="AE315" s="1425"/>
      <c r="AF315" s="1425"/>
      <c r="AG315" s="4" t="s">
        <v>206</v>
      </c>
      <c r="AH315" s="4"/>
      <c r="AI315" s="1418"/>
      <c r="AJ315" s="1418"/>
      <c r="AK315" s="1418"/>
    </row>
    <row r="316" spans="2:37" ht="12.9" customHeight="1">
      <c r="B316" s="3" t="s">
        <v>89</v>
      </c>
      <c r="C316" s="3"/>
      <c r="D316" s="3"/>
      <c r="E316" s="3"/>
      <c r="F316" s="3"/>
      <c r="G316" s="3"/>
      <c r="H316" s="1346">
        <f>'[1]Data Port'!$G$181</f>
        <v>0</v>
      </c>
      <c r="I316" s="1346"/>
      <c r="J316" s="1346"/>
      <c r="K316" s="1346"/>
      <c r="L316" s="1346"/>
      <c r="M316" s="1346"/>
      <c r="N316" s="4"/>
      <c r="O316" s="4"/>
      <c r="P316" s="35"/>
      <c r="Q316" s="35"/>
      <c r="R316" s="35"/>
      <c r="S316" s="3"/>
      <c r="T316" s="3" t="s">
        <v>89</v>
      </c>
      <c r="V316" s="3"/>
      <c r="W316" s="3"/>
      <c r="X316" s="3"/>
      <c r="Y316" s="3"/>
      <c r="AA316" s="1346">
        <f>'[1]Data Port'!$G$189</f>
        <v>0</v>
      </c>
      <c r="AB316" s="1346"/>
      <c r="AC316" s="1346"/>
      <c r="AD316" s="1346"/>
      <c r="AE316" s="1346"/>
      <c r="AF316" s="1346"/>
      <c r="AG316" s="4"/>
      <c r="AH316" s="4"/>
      <c r="AI316" s="35"/>
      <c r="AJ316" s="35"/>
      <c r="AK316" s="35"/>
    </row>
    <row r="317" spans="2:37" ht="12.9" customHeight="1">
      <c r="B317" s="3" t="s">
        <v>76</v>
      </c>
      <c r="C317" s="3"/>
      <c r="D317" s="3"/>
      <c r="E317" s="3"/>
      <c r="F317" s="3"/>
      <c r="G317" s="3"/>
      <c r="H317" s="1349" t="str">
        <f>'[1]Data Port'!$G$182</f>
        <v>BReaCPA@AOL.com</v>
      </c>
      <c r="I317" s="1349"/>
      <c r="J317" s="1349"/>
      <c r="K317" s="1349"/>
      <c r="L317" s="1349"/>
      <c r="M317" s="1349"/>
      <c r="N317" s="1372"/>
      <c r="O317" s="1372"/>
      <c r="P317" s="1372"/>
      <c r="Q317" s="1372"/>
      <c r="R317" s="1372"/>
      <c r="S317" s="3"/>
      <c r="T317" s="3" t="s">
        <v>76</v>
      </c>
      <c r="V317" s="3"/>
      <c r="W317" s="3"/>
      <c r="X317" s="3"/>
      <c r="Y317" s="3"/>
      <c r="AA317" s="1349" t="str">
        <f>'[1]Data Port'!$G$190</f>
        <v>Eileen_T_Tran@keybank.com</v>
      </c>
      <c r="AB317" s="1349"/>
      <c r="AC317" s="1349"/>
      <c r="AD317" s="1349"/>
      <c r="AE317" s="1349"/>
      <c r="AF317" s="1349"/>
      <c r="AG317" s="1372"/>
      <c r="AH317" s="1372"/>
      <c r="AI317" s="1372"/>
      <c r="AJ317" s="1372"/>
      <c r="AK317" s="1372"/>
    </row>
    <row r="318" spans="2:37" ht="12.9" customHeight="1"/>
    <row r="319" spans="2:37" ht="12.9" customHeight="1">
      <c r="B319" s="4" t="s">
        <v>907</v>
      </c>
      <c r="C319" s="3"/>
      <c r="D319" s="3"/>
      <c r="E319" s="3"/>
      <c r="F319" s="3"/>
      <c r="H319" s="1372" t="str">
        <f>'[1]Data Port'!$G$192</f>
        <v>Zen Development Consultants LLC</v>
      </c>
      <c r="I319" s="1372"/>
      <c r="J319" s="1372"/>
      <c r="K319" s="1372"/>
      <c r="L319" s="1372"/>
      <c r="M319" s="1372"/>
      <c r="N319" s="1372"/>
      <c r="O319" s="1372"/>
      <c r="P319" s="1372"/>
      <c r="Q319" s="1372"/>
      <c r="R319" s="1372"/>
      <c r="T319" s="3" t="s">
        <v>366</v>
      </c>
      <c r="V319" s="3"/>
      <c r="W319" s="3"/>
      <c r="X319" s="3"/>
      <c r="Y319" s="3"/>
      <c r="AA319" s="1372" t="str">
        <f>'[1]Data Port'!$G$200</f>
        <v>The Concord Group</v>
      </c>
      <c r="AB319" s="1372"/>
      <c r="AC319" s="1372"/>
      <c r="AD319" s="1372"/>
      <c r="AE319" s="1372"/>
      <c r="AF319" s="1372"/>
      <c r="AG319" s="1372"/>
      <c r="AH319" s="1372"/>
      <c r="AI319" s="1372"/>
      <c r="AJ319" s="1372"/>
      <c r="AK319" s="1372"/>
    </row>
    <row r="320" spans="2:37" ht="12.9" customHeight="1">
      <c r="B320" s="3" t="s">
        <v>470</v>
      </c>
      <c r="C320" s="3"/>
      <c r="D320" s="3"/>
      <c r="E320" s="3"/>
      <c r="F320" s="3"/>
      <c r="H320" s="1349" t="str">
        <f>'[1]Data Port'!$G$193</f>
        <v>222 Redwood Drive</v>
      </c>
      <c r="I320" s="1349"/>
      <c r="J320" s="1349"/>
      <c r="K320" s="1349"/>
      <c r="L320" s="1349"/>
      <c r="M320" s="1349"/>
      <c r="N320" s="1349"/>
      <c r="O320" s="1349"/>
      <c r="P320" s="1349"/>
      <c r="Q320" s="1349"/>
      <c r="R320" s="1349"/>
      <c r="T320" s="3" t="s">
        <v>470</v>
      </c>
      <c r="V320" s="3"/>
      <c r="W320" s="3"/>
      <c r="X320" s="3"/>
      <c r="Y320" s="3"/>
      <c r="AA320" s="1349" t="str">
        <f>'[1]Data Port'!$G$201</f>
        <v>140 Newport Center Drive, Suite 210</v>
      </c>
      <c r="AB320" s="1349"/>
      <c r="AC320" s="1349"/>
      <c r="AD320" s="1349"/>
      <c r="AE320" s="1349"/>
      <c r="AF320" s="1349"/>
      <c r="AG320" s="1349"/>
      <c r="AH320" s="1349"/>
      <c r="AI320" s="1349"/>
      <c r="AJ320" s="1349"/>
      <c r="AK320" s="1349"/>
    </row>
    <row r="321" spans="2:37" ht="12.9" customHeight="1">
      <c r="B321" s="3" t="s">
        <v>471</v>
      </c>
      <c r="C321" s="3"/>
      <c r="D321" s="3"/>
      <c r="E321" s="3"/>
      <c r="F321" s="3"/>
      <c r="H321" s="1349" t="str">
        <f>'[1]Data Port'!$G$194</f>
        <v>Woodacre, CA, 94973</v>
      </c>
      <c r="I321" s="1349"/>
      <c r="J321" s="1349"/>
      <c r="K321" s="1349"/>
      <c r="L321" s="1349"/>
      <c r="M321" s="1349"/>
      <c r="N321" s="1349"/>
      <c r="O321" s="1349"/>
      <c r="P321" s="1349"/>
      <c r="Q321" s="1349"/>
      <c r="R321" s="1349"/>
      <c r="T321" s="3" t="s">
        <v>75</v>
      </c>
      <c r="V321" s="3"/>
      <c r="W321" s="3"/>
      <c r="X321" s="3"/>
      <c r="Y321" s="3"/>
      <c r="AA321" s="1349" t="str">
        <f>'[1]Data Port'!$G$202</f>
        <v>Newport Beach, CA, 92660</v>
      </c>
      <c r="AB321" s="1349"/>
      <c r="AC321" s="1349"/>
      <c r="AD321" s="1349"/>
      <c r="AE321" s="1349"/>
      <c r="AF321" s="1349"/>
      <c r="AG321" s="1349"/>
      <c r="AH321" s="1349"/>
      <c r="AI321" s="1349"/>
      <c r="AJ321" s="1349"/>
      <c r="AK321" s="1349"/>
    </row>
    <row r="322" spans="2:37" ht="12.9" customHeight="1">
      <c r="B322" s="3" t="s">
        <v>87</v>
      </c>
      <c r="C322" s="3"/>
      <c r="D322" s="3"/>
      <c r="E322" s="3"/>
      <c r="F322" s="3"/>
      <c r="H322" s="1349" t="str">
        <f>'[1]Data Port'!$G$195</f>
        <v>Jeremy Hoffman</v>
      </c>
      <c r="I322" s="1349"/>
      <c r="J322" s="1349"/>
      <c r="K322" s="1349"/>
      <c r="L322" s="1349"/>
      <c r="M322" s="1349"/>
      <c r="N322" s="1349"/>
      <c r="O322" s="1349"/>
      <c r="P322" s="1349"/>
      <c r="Q322" s="1349"/>
      <c r="R322" s="1349"/>
      <c r="T322" s="3" t="s">
        <v>87</v>
      </c>
      <c r="V322" s="3"/>
      <c r="W322" s="3"/>
      <c r="X322" s="3"/>
      <c r="Y322" s="3"/>
      <c r="AA322" s="1349" t="str">
        <f>'[1]Data Port'!$G$203</f>
        <v>Brodie Dizgun</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5" t="str">
        <f>'[1]Data Port'!$G$196</f>
        <v>818.653.3899</v>
      </c>
      <c r="I323" s="1425"/>
      <c r="J323" s="1425"/>
      <c r="K323" s="1425"/>
      <c r="L323" s="1425"/>
      <c r="M323" s="1425"/>
      <c r="N323" s="4" t="s">
        <v>206</v>
      </c>
      <c r="O323" s="4"/>
      <c r="P323" s="1418"/>
      <c r="Q323" s="1418"/>
      <c r="R323" s="1418"/>
      <c r="S323" s="3"/>
      <c r="T323" s="3" t="s">
        <v>88</v>
      </c>
      <c r="V323" s="3"/>
      <c r="W323" s="3"/>
      <c r="X323" s="3"/>
      <c r="Y323" s="3"/>
      <c r="AA323" s="1425" t="str">
        <f>'[1]Data Port'!$G$204</f>
        <v>949.717.6450</v>
      </c>
      <c r="AB323" s="1425"/>
      <c r="AC323" s="1425"/>
      <c r="AD323" s="1425"/>
      <c r="AE323" s="1425"/>
      <c r="AF323" s="1425"/>
      <c r="AG323" s="4" t="s">
        <v>206</v>
      </c>
      <c r="AH323" s="4"/>
      <c r="AI323" s="1418"/>
      <c r="AJ323" s="1418"/>
      <c r="AK323" s="1418"/>
    </row>
    <row r="324" spans="2:37" ht="12.9" customHeight="1">
      <c r="B324" s="3" t="s">
        <v>89</v>
      </c>
      <c r="C324" s="3"/>
      <c r="D324" s="3"/>
      <c r="E324" s="3"/>
      <c r="F324" s="3"/>
      <c r="G324" s="3"/>
      <c r="H324" s="1346">
        <f>'[1]Data Port'!$G$197</f>
        <v>0</v>
      </c>
      <c r="I324" s="1346"/>
      <c r="J324" s="1346"/>
      <c r="K324" s="1346"/>
      <c r="L324" s="1346"/>
      <c r="M324" s="1346"/>
      <c r="N324" s="4"/>
      <c r="O324" s="4"/>
      <c r="P324" s="35"/>
      <c r="Q324" s="35"/>
      <c r="R324" s="35"/>
      <c r="S324" s="3"/>
      <c r="T324" s="3" t="s">
        <v>89</v>
      </c>
      <c r="V324" s="3"/>
      <c r="W324" s="3"/>
      <c r="X324" s="3"/>
      <c r="Y324" s="3"/>
      <c r="AA324" s="1346">
        <f>'[1]Data Port'!$G$205</f>
        <v>0</v>
      </c>
      <c r="AB324" s="1346"/>
      <c r="AC324" s="1346"/>
      <c r="AD324" s="1346"/>
      <c r="AE324" s="1346"/>
      <c r="AF324" s="1346"/>
      <c r="AG324" s="4"/>
      <c r="AH324" s="4"/>
      <c r="AI324" s="35"/>
      <c r="AJ324" s="35"/>
      <c r="AK324" s="35"/>
    </row>
    <row r="325" spans="2:37" ht="12.9" customHeight="1">
      <c r="B325" s="3" t="s">
        <v>76</v>
      </c>
      <c r="C325" s="3"/>
      <c r="D325" s="3"/>
      <c r="E325" s="3"/>
      <c r="F325" s="3"/>
      <c r="G325" s="3"/>
      <c r="H325" s="1349" t="str">
        <f>'[1]Data Port'!$G$198</f>
        <v>jeremy@zendevelopment.org</v>
      </c>
      <c r="I325" s="1349"/>
      <c r="J325" s="1349"/>
      <c r="K325" s="1349"/>
      <c r="L325" s="1349"/>
      <c r="M325" s="1349"/>
      <c r="N325" s="1372"/>
      <c r="O325" s="1372"/>
      <c r="P325" s="1372"/>
      <c r="Q325" s="1372"/>
      <c r="R325" s="1372"/>
      <c r="S325" s="3"/>
      <c r="T325" s="3" t="s">
        <v>76</v>
      </c>
      <c r="V325" s="3"/>
      <c r="W325" s="3"/>
      <c r="X325" s="3"/>
      <c r="Y325" s="3"/>
      <c r="AA325" s="1349" t="str">
        <f>'[1]Data Port'!$G$206</f>
        <v>btd@theconcordgroup.com</v>
      </c>
      <c r="AB325" s="1349"/>
      <c r="AC325" s="1349"/>
      <c r="AD325" s="1349"/>
      <c r="AE325" s="1349"/>
      <c r="AF325" s="1349"/>
      <c r="AG325" s="1372"/>
      <c r="AH325" s="1372"/>
      <c r="AI325" s="1372"/>
      <c r="AJ325" s="1372"/>
      <c r="AK325" s="137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2"/>
      <c r="I335" s="1372"/>
      <c r="J335" s="1372"/>
      <c r="K335" s="1372"/>
      <c r="L335" s="1372"/>
      <c r="M335" s="1372"/>
      <c r="N335" s="1372"/>
      <c r="O335" s="1372"/>
      <c r="P335" s="1372"/>
      <c r="Q335" s="1372"/>
      <c r="R335" s="1372"/>
      <c r="T335" s="204" t="s">
        <v>885</v>
      </c>
      <c r="V335" s="3"/>
      <c r="W335" s="3"/>
      <c r="X335" s="3"/>
      <c r="Y335" s="3"/>
      <c r="AA335" s="1372" t="str">
        <f>'[1]Data Port'!$G$232</f>
        <v>FPI Management</v>
      </c>
      <c r="AB335" s="1372"/>
      <c r="AC335" s="1372"/>
      <c r="AD335" s="1372"/>
      <c r="AE335" s="1372"/>
      <c r="AF335" s="1372"/>
      <c r="AG335" s="1372"/>
      <c r="AH335" s="1372"/>
      <c r="AI335" s="1372"/>
      <c r="AJ335" s="1372"/>
      <c r="AK335" s="1372"/>
    </row>
    <row r="336" spans="2:37" ht="12.9" customHeight="1">
      <c r="B336" s="3" t="s">
        <v>470</v>
      </c>
      <c r="C336" s="3"/>
      <c r="D336" s="3"/>
      <c r="E336" s="3"/>
      <c r="F336" s="3"/>
      <c r="H336" s="1349"/>
      <c r="I336" s="1349"/>
      <c r="J336" s="1349"/>
      <c r="K336" s="1349"/>
      <c r="L336" s="1349"/>
      <c r="M336" s="1349"/>
      <c r="N336" s="1349"/>
      <c r="O336" s="1349"/>
      <c r="P336" s="1349"/>
      <c r="Q336" s="1349"/>
      <c r="R336" s="1349"/>
      <c r="T336" s="3" t="s">
        <v>470</v>
      </c>
      <c r="V336" s="3"/>
      <c r="W336" s="3"/>
      <c r="X336" s="3"/>
      <c r="Y336" s="3"/>
      <c r="AA336" s="1349" t="str">
        <f>'[1]Data Port'!$G$233</f>
        <v>800 Iron Point Road</v>
      </c>
      <c r="AB336" s="1349"/>
      <c r="AC336" s="1349"/>
      <c r="AD336" s="1349"/>
      <c r="AE336" s="1349"/>
      <c r="AF336" s="1349"/>
      <c r="AG336" s="1349"/>
      <c r="AH336" s="1349"/>
      <c r="AI336" s="1349"/>
      <c r="AJ336" s="1349"/>
      <c r="AK336" s="1349"/>
    </row>
    <row r="337" spans="1:66" ht="12.9" customHeight="1">
      <c r="B337" s="3" t="s">
        <v>75</v>
      </c>
      <c r="C337" s="3"/>
      <c r="D337" s="3"/>
      <c r="E337" s="3"/>
      <c r="F337" s="3"/>
      <c r="H337" s="1349"/>
      <c r="I337" s="1349"/>
      <c r="J337" s="1349"/>
      <c r="K337" s="1349"/>
      <c r="L337" s="1349"/>
      <c r="M337" s="1349"/>
      <c r="N337" s="1349"/>
      <c r="O337" s="1349"/>
      <c r="P337" s="1349"/>
      <c r="Q337" s="1349"/>
      <c r="R337" s="1349"/>
      <c r="T337" s="3" t="s">
        <v>75</v>
      </c>
      <c r="V337" s="3"/>
      <c r="W337" s="3"/>
      <c r="X337" s="3"/>
      <c r="Y337" s="3"/>
      <c r="AA337" s="1349" t="str">
        <f>'[1]Data Port'!$G$234</f>
        <v>Folsom, CA 95630</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349"/>
      <c r="I338" s="1349"/>
      <c r="J338" s="1349"/>
      <c r="K338" s="1349"/>
      <c r="L338" s="1349"/>
      <c r="M338" s="1349"/>
      <c r="N338" s="1349"/>
      <c r="O338" s="1349"/>
      <c r="P338" s="1349"/>
      <c r="Q338" s="1349"/>
      <c r="R338" s="1349"/>
      <c r="T338" s="3" t="s">
        <v>87</v>
      </c>
      <c r="V338" s="3"/>
      <c r="W338" s="3"/>
      <c r="X338" s="3"/>
      <c r="Y338" s="3"/>
      <c r="AA338" s="1349" t="str">
        <f>'[1]Data Port'!$G$235</f>
        <v>Cynthia Wray</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425"/>
      <c r="I339" s="1425"/>
      <c r="J339" s="1425"/>
      <c r="K339" s="1425"/>
      <c r="L339" s="1425"/>
      <c r="M339" s="1425"/>
      <c r="N339" s="4" t="s">
        <v>206</v>
      </c>
      <c r="O339" s="4"/>
      <c r="P339" s="1418"/>
      <c r="Q339" s="1418"/>
      <c r="R339" s="1418"/>
      <c r="S339" s="3"/>
      <c r="T339" s="3" t="s">
        <v>88</v>
      </c>
      <c r="V339" s="3"/>
      <c r="W339" s="3"/>
      <c r="X339" s="3"/>
      <c r="Y339" s="3"/>
      <c r="AA339" s="1425" t="str">
        <f>'[1]Data Port'!$G$236</f>
        <v>916.850.4484</v>
      </c>
      <c r="AB339" s="1425"/>
      <c r="AC339" s="1425"/>
      <c r="AD339" s="1425"/>
      <c r="AE339" s="1425"/>
      <c r="AF339" s="1425"/>
      <c r="AG339" s="4" t="s">
        <v>206</v>
      </c>
      <c r="AH339" s="4"/>
      <c r="AI339" s="1418"/>
      <c r="AJ339" s="1418"/>
      <c r="AK339" s="1418"/>
    </row>
    <row r="340" spans="1:66" ht="12.9"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f>'[1]Data Port'!$G$237</f>
        <v>0</v>
      </c>
      <c r="AB340" s="1346"/>
      <c r="AC340" s="1346"/>
      <c r="AD340" s="1346"/>
      <c r="AE340" s="1346"/>
      <c r="AF340" s="1346"/>
      <c r="AG340" s="4"/>
      <c r="AH340" s="4"/>
      <c r="AI340" s="35"/>
      <c r="AJ340" s="35"/>
      <c r="AK340" s="35"/>
    </row>
    <row r="341" spans="1:66" ht="12.9"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t="str">
        <f>'[1]Data Port'!$G$238</f>
        <v>cynthia.wray@fpimgt.com</v>
      </c>
      <c r="AB341" s="1349"/>
      <c r="AC341" s="1349"/>
      <c r="AD341" s="1349"/>
      <c r="AE341" s="1349"/>
      <c r="AF341" s="1349"/>
      <c r="AG341" s="1372"/>
      <c r="AH341" s="1372"/>
      <c r="AI341" s="1372"/>
      <c r="AJ341" s="1372"/>
      <c r="AK341" s="137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886</v>
      </c>
      <c r="P343" s="1372"/>
      <c r="Q343" s="1372"/>
      <c r="R343" s="1372"/>
      <c r="S343" s="1372"/>
      <c r="T343" s="1372"/>
      <c r="U343" s="1372"/>
      <c r="V343" s="1372"/>
      <c r="W343" s="1372"/>
      <c r="X343" s="1372"/>
      <c r="Y343" s="1372"/>
      <c r="Z343" s="1372"/>
      <c r="AA343" s="1372"/>
      <c r="AB343" s="1372"/>
      <c r="AC343" s="1372"/>
      <c r="AD343" s="1372"/>
      <c r="AE343" s="1372"/>
      <c r="BN343" t="s">
        <v>668</v>
      </c>
    </row>
    <row r="344" spans="1:66" ht="12.9"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 customHeight="1">
      <c r="T350" s="8"/>
      <c r="U350" s="8"/>
      <c r="V350" s="8"/>
      <c r="W350" s="8"/>
      <c r="X350" s="8"/>
      <c r="Y350" s="8"/>
      <c r="Z350" s="8"/>
      <c r="AU350" s="95"/>
      <c r="AV350" s="95"/>
      <c r="AW350" s="95"/>
      <c r="AX350" s="95"/>
      <c r="AY350" s="95"/>
    </row>
    <row r="351" spans="1:66" ht="12.9" customHeight="1">
      <c r="A351" s="1424" t="s">
        <v>541</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781</v>
      </c>
    </row>
    <row r="355" spans="1:46" ht="12.9" customHeight="1">
      <c r="D355" s="3" t="s">
        <v>2096</v>
      </c>
      <c r="M355" s="1332" t="str">
        <f>'[1]Data Port'!$G$248</f>
        <v>Yes</v>
      </c>
      <c r="N355" s="1332"/>
      <c r="P355" t="s">
        <v>1648</v>
      </c>
      <c r="AJ355" s="1332" t="str">
        <f>'[1]Data Port'!$G$252</f>
        <v>N/A</v>
      </c>
      <c r="AK355" s="1332"/>
    </row>
    <row r="356" spans="1:46" ht="12.9" customHeight="1">
      <c r="D356" s="3" t="s">
        <v>1637</v>
      </c>
      <c r="M356" s="1332" t="str">
        <f>'[1]Data Port'!$G$249</f>
        <v>N/A</v>
      </c>
      <c r="N356" s="1332"/>
      <c r="P356" s="3" t="s">
        <v>1717</v>
      </c>
      <c r="AJ356" s="1448">
        <f>'[1]Data Port'!$G$253</f>
        <v>0</v>
      </c>
      <c r="AK356" s="1448"/>
    </row>
    <row r="357" spans="1:46" ht="12.9" customHeight="1">
      <c r="D357" s="3" t="s">
        <v>703</v>
      </c>
      <c r="M357" s="1332" t="str">
        <f>'[1]Data Port'!$G$250</f>
        <v>N/A</v>
      </c>
      <c r="N357" s="1332"/>
      <c r="P357" t="s">
        <v>1647</v>
      </c>
      <c r="AJ357" s="1332" t="str">
        <f>'[1]Data Port'!$G$254</f>
        <v>N/A</v>
      </c>
      <c r="AK357" s="1332"/>
    </row>
    <row r="358" spans="1:46" ht="12.9" customHeight="1">
      <c r="D358" s="3" t="s">
        <v>704</v>
      </c>
      <c r="M358" s="1332" t="str">
        <f>'[1]Data Port'!$G$251</f>
        <v>N/A</v>
      </c>
      <c r="N358" s="1332"/>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tr">
        <f>'[1]Data Port'!$G$256</f>
        <v>N/A</v>
      </c>
      <c r="O363" s="1332"/>
      <c r="P363" s="40"/>
      <c r="Q363" s="40"/>
      <c r="R363" s="40"/>
      <c r="S363" s="40"/>
      <c r="T363" s="40"/>
      <c r="U363" s="40"/>
      <c r="V363" s="40"/>
      <c r="W363" s="40"/>
      <c r="X363" s="40"/>
      <c r="Y363" s="40"/>
      <c r="Z363" s="40"/>
      <c r="AC363" s="40"/>
      <c r="AD363" s="40"/>
      <c r="AE363" s="40"/>
    </row>
    <row r="364" spans="1:46" ht="12.9" customHeight="1">
      <c r="E364" t="s">
        <v>370</v>
      </c>
      <c r="Y364" s="1332" t="str">
        <f>'[1]Data Port'!$G$257</f>
        <v>N/A</v>
      </c>
      <c r="Z364" s="1332"/>
    </row>
    <row r="365" spans="1:46" ht="12.9" customHeight="1">
      <c r="D365" s="4" t="s">
        <v>976</v>
      </c>
      <c r="Q365" s="1372" t="str">
        <f>'[1]Data Port'!$G$258</f>
        <v>N/A</v>
      </c>
      <c r="R365" s="1372"/>
      <c r="S365" s="1372"/>
      <c r="T365" s="1372"/>
      <c r="U365" s="1372"/>
      <c r="V365" s="1372"/>
      <c r="W365" s="1372"/>
      <c r="X365" s="1372"/>
      <c r="Y365" s="1372"/>
      <c r="Z365" s="1372"/>
      <c r="AA365" s="1372"/>
      <c r="AB365" s="1372"/>
      <c r="AC365" s="1372"/>
      <c r="AD365" s="1372"/>
      <c r="AE365" s="1372"/>
      <c r="AF365" s="1372"/>
      <c r="AG365" s="137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tr">
        <f>'[1]Data Port'!$G$259</f>
        <v>N/A</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 customHeight="1">
      <c r="C375" s="512"/>
      <c r="E375" s="4"/>
      <c r="F375" s="4"/>
      <c r="G375" s="4"/>
      <c r="H375" s="4"/>
      <c r="I375" s="4"/>
      <c r="J375" s="4"/>
      <c r="K375" s="4"/>
      <c r="L375" s="4"/>
    </row>
    <row r="376" spans="1:34" ht="12.9" customHeight="1">
      <c r="D376" s="2" t="s">
        <v>973</v>
      </c>
      <c r="E376" s="2"/>
      <c r="F376" s="4"/>
      <c r="G376" s="4"/>
      <c r="H376" s="4"/>
      <c r="I376" s="4"/>
      <c r="J376" s="4"/>
      <c r="K376" s="4"/>
      <c r="L376" s="4"/>
    </row>
    <row r="377" spans="1:34" ht="12.9" customHeight="1">
      <c r="E377" s="4" t="s">
        <v>2082</v>
      </c>
      <c r="F377" s="4"/>
      <c r="G377" s="4"/>
      <c r="H377" s="4"/>
      <c r="I377" s="4"/>
      <c r="J377" s="4"/>
      <c r="K377" s="4"/>
      <c r="L377" s="4"/>
      <c r="N377" t="s">
        <v>2077</v>
      </c>
      <c r="R377" s="27" t="s">
        <v>305</v>
      </c>
      <c r="S377" s="1820"/>
      <c r="T377" s="1820"/>
      <c r="U377" s="1" t="s">
        <v>306</v>
      </c>
      <c r="V377" s="1820"/>
      <c r="W377" s="1820"/>
      <c r="Y377" t="s">
        <v>2077</v>
      </c>
      <c r="AC377" s="27" t="s">
        <v>305</v>
      </c>
      <c r="AD377" s="1820"/>
      <c r="AE377" s="1820"/>
      <c r="AF377" s="1" t="s">
        <v>306</v>
      </c>
      <c r="AG377" s="1820"/>
      <c r="AH377" s="1820"/>
    </row>
    <row r="378" spans="1:34" ht="12.9" customHeight="1">
      <c r="E378" s="4" t="s">
        <v>985</v>
      </c>
      <c r="F378" s="4"/>
      <c r="G378" s="4"/>
      <c r="H378" s="4"/>
      <c r="I378" s="4"/>
      <c r="J378" s="4"/>
      <c r="K378" s="4"/>
      <c r="L378" s="4"/>
      <c r="N378" s="1820"/>
      <c r="O378" s="1820"/>
      <c r="P378" s="1820"/>
    </row>
    <row r="379" spans="1:34" ht="12.9" customHeight="1">
      <c r="E379" s="204" t="s">
        <v>2083</v>
      </c>
      <c r="F379" s="4"/>
      <c r="G379" s="4"/>
      <c r="H379" s="4"/>
      <c r="I379" s="4"/>
      <c r="J379" s="4"/>
      <c r="K379" s="4"/>
      <c r="L379" s="4"/>
      <c r="AG379" s="1808" t="s">
        <v>590</v>
      </c>
      <c r="AH379" s="1808"/>
    </row>
    <row r="380" spans="1:34" ht="12.9" customHeight="1">
      <c r="E380" s="4"/>
      <c r="F380" s="4"/>
      <c r="G380" s="4" t="s">
        <v>2084</v>
      </c>
      <c r="H380" s="4"/>
      <c r="I380" s="4"/>
      <c r="J380" s="4"/>
      <c r="K380" s="4"/>
      <c r="L380" s="4"/>
      <c r="AG380" s="1808" t="s">
        <v>590</v>
      </c>
      <c r="AH380" s="1808"/>
    </row>
    <row r="381" spans="1:34" ht="12.9" customHeight="1">
      <c r="E381" s="4"/>
      <c r="F381" s="4"/>
      <c r="G381" s="320" t="s">
        <v>986</v>
      </c>
      <c r="H381" s="4"/>
      <c r="I381" s="4"/>
      <c r="J381" s="4"/>
      <c r="K381" s="4"/>
      <c r="L381" s="4"/>
      <c r="V381" s="1332" t="s">
        <v>590</v>
      </c>
      <c r="W381" s="1332"/>
      <c r="Y381" s="22" t="s">
        <v>978</v>
      </c>
    </row>
    <row r="382" spans="1:34" ht="12.9" customHeight="1">
      <c r="E382" s="4" t="s">
        <v>979</v>
      </c>
      <c r="F382" s="4"/>
      <c r="G382" s="4"/>
      <c r="H382" s="4"/>
      <c r="I382" s="4"/>
      <c r="J382" s="4"/>
      <c r="K382" s="4"/>
      <c r="L382" s="4"/>
      <c r="V382" s="1332" t="s">
        <v>590</v>
      </c>
      <c r="W382" s="1332"/>
      <c r="Y382" s="4" t="s">
        <v>980</v>
      </c>
    </row>
    <row r="383" spans="1:34" ht="12.9" customHeight="1"/>
    <row r="384" spans="1:34" ht="12.9" customHeight="1">
      <c r="A384" s="2" t="s">
        <v>78</v>
      </c>
      <c r="B384" s="2"/>
    </row>
    <row r="385" spans="4:36" ht="12.9" customHeight="1">
      <c r="D385" t="s">
        <v>427</v>
      </c>
      <c r="J385" s="1372">
        <f>'[1]Data Port'!$G268</f>
        <v>0</v>
      </c>
      <c r="K385" s="1372"/>
      <c r="L385" s="1372"/>
      <c r="M385" s="1372"/>
      <c r="N385" s="1372"/>
      <c r="O385" s="1372"/>
      <c r="P385" s="1372"/>
      <c r="Q385" s="1372"/>
      <c r="R385" s="1372"/>
      <c r="S385" s="1372"/>
      <c r="T385" s="1372"/>
      <c r="U385" s="1372"/>
      <c r="V385" s="8" t="s">
        <v>83</v>
      </c>
      <c r="W385" s="8"/>
      <c r="X385" s="8"/>
      <c r="Y385" s="8"/>
      <c r="Z385" s="8"/>
      <c r="AA385" s="8"/>
      <c r="AB385" s="8"/>
      <c r="AC385" s="1372">
        <f>'[1]Data Port'!$G273</f>
        <v>0</v>
      </c>
      <c r="AD385" s="1372"/>
      <c r="AE385" s="1372"/>
      <c r="AF385" s="1372"/>
      <c r="AG385" s="1372"/>
      <c r="AH385" s="1372"/>
      <c r="AI385" s="1372"/>
      <c r="AJ385" s="1372"/>
    </row>
    <row r="386" spans="4:36" ht="12.9" customHeight="1">
      <c r="D386" s="3" t="s">
        <v>1180</v>
      </c>
      <c r="J386" s="1349">
        <f>'[1]Data Port'!$G269</f>
        <v>0</v>
      </c>
      <c r="K386" s="1349"/>
      <c r="L386" s="1349"/>
      <c r="M386" s="1349"/>
      <c r="N386" s="1349"/>
      <c r="O386" s="1349"/>
      <c r="P386" s="1349"/>
      <c r="Q386" s="1349"/>
      <c r="R386" s="1349"/>
      <c r="S386" s="1349"/>
      <c r="T386" s="1349"/>
      <c r="U386" s="1349"/>
      <c r="V386" s="3" t="s">
        <v>1180</v>
      </c>
      <c r="W386" s="8"/>
      <c r="X386" s="8"/>
      <c r="Y386" s="8"/>
      <c r="Z386" s="8"/>
      <c r="AA386" s="8"/>
      <c r="AB386" s="8"/>
      <c r="AC386" s="1372">
        <f>'[1]Data Port'!$G274</f>
        <v>0</v>
      </c>
      <c r="AD386" s="1372"/>
      <c r="AE386" s="1372"/>
      <c r="AF386" s="1372"/>
      <c r="AG386" s="1372"/>
      <c r="AH386" s="1372"/>
      <c r="AI386" s="1372"/>
      <c r="AJ386" s="1372"/>
    </row>
    <row r="387" spans="4:36" ht="12.9" customHeight="1">
      <c r="D387" s="3" t="s">
        <v>440</v>
      </c>
      <c r="J387" s="1349">
        <f>'[1]Data Port'!$G270</f>
        <v>0</v>
      </c>
      <c r="K387" s="1349"/>
      <c r="L387" s="1349"/>
      <c r="M387" s="1349"/>
      <c r="N387" s="1349"/>
      <c r="O387" s="1349"/>
      <c r="P387" s="1349"/>
      <c r="Q387" s="1349"/>
      <c r="R387" s="1349"/>
      <c r="S387" s="1349"/>
      <c r="T387" s="1349"/>
      <c r="U387" s="1349"/>
      <c r="V387" s="3" t="s">
        <v>440</v>
      </c>
      <c r="W387" s="8"/>
      <c r="X387" s="8"/>
      <c r="Y387" s="8"/>
      <c r="Z387" s="8"/>
      <c r="AA387" s="8"/>
      <c r="AB387" s="8"/>
      <c r="AC387" s="1372">
        <f>'[1]Data Port'!$G275</f>
        <v>0</v>
      </c>
      <c r="AD387" s="1372"/>
      <c r="AE387" s="1372"/>
      <c r="AF387" s="1372"/>
      <c r="AG387" s="1372"/>
      <c r="AH387" s="1372"/>
      <c r="AI387" s="1372"/>
      <c r="AJ387" s="1372"/>
    </row>
    <row r="388" spans="4:36" ht="12.9" customHeight="1">
      <c r="D388" t="s">
        <v>1176</v>
      </c>
      <c r="J388" s="1403">
        <f>'[1]Data Port'!$G271</f>
        <v>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 customHeight="1">
      <c r="D389" t="s">
        <v>4</v>
      </c>
      <c r="Q389" s="1752">
        <f>'[1]Data Port'!$G277</f>
        <v>44124</v>
      </c>
      <c r="R389" s="1752"/>
      <c r="S389" s="1752"/>
      <c r="T389" s="1752"/>
      <c r="U389" s="1752"/>
      <c r="V389" t="s">
        <v>309</v>
      </c>
      <c r="AI389" s="1332">
        <f>'[1]Data Port'!$G284</f>
        <v>0</v>
      </c>
      <c r="AJ389" s="1332"/>
    </row>
    <row r="390" spans="4:36" ht="12.9" customHeight="1">
      <c r="D390" t="s">
        <v>5</v>
      </c>
      <c r="Q390" s="1535">
        <f>'[1]Data Port'!$G278</f>
        <v>0</v>
      </c>
      <c r="R390" s="1824"/>
      <c r="S390" s="1824"/>
      <c r="T390" s="1824"/>
      <c r="U390" s="1824"/>
      <c r="W390" s="21" t="s">
        <v>74</v>
      </c>
      <c r="AG390" s="1822">
        <f>'[1]Data Port'!$G285</f>
        <v>0</v>
      </c>
      <c r="AH390" s="1822"/>
      <c r="AI390" s="1822"/>
      <c r="AJ390" s="1822"/>
    </row>
    <row r="391" spans="4:36" ht="12.9" customHeight="1">
      <c r="D391" t="s">
        <v>426</v>
      </c>
      <c r="Q391" s="1833">
        <f>'[1]Data Port'!$G279</f>
        <v>7000000</v>
      </c>
      <c r="R391" s="1833"/>
      <c r="S391" s="1833"/>
      <c r="T391" s="1833"/>
      <c r="U391" s="1833"/>
      <c r="V391" s="3" t="s">
        <v>1179</v>
      </c>
      <c r="AG391" s="1823">
        <f>'[1]Data Port'!$G286</f>
        <v>0</v>
      </c>
      <c r="AH391" s="1823"/>
      <c r="AI391" s="1823"/>
      <c r="AJ391" s="1823"/>
    </row>
    <row r="392" spans="4:36" ht="12.9" customHeight="1">
      <c r="D392" t="s">
        <v>88</v>
      </c>
      <c r="I392" s="1425">
        <f>'[1]Data Port'!$G$280</f>
        <v>0</v>
      </c>
      <c r="J392" s="1425"/>
      <c r="K392" s="1425"/>
      <c r="L392" s="1425"/>
      <c r="M392" s="1425"/>
      <c r="N392" s="1425"/>
      <c r="Q392" s="4" t="s">
        <v>206</v>
      </c>
      <c r="S392" s="1832"/>
      <c r="T392" s="1832"/>
      <c r="U392" s="1832"/>
      <c r="V392" t="s">
        <v>73</v>
      </c>
      <c r="AI392" s="1332">
        <f>'[1]Data Port'!$G$287</f>
        <v>0</v>
      </c>
      <c r="AJ392" s="1332"/>
    </row>
    <row r="393" spans="4:36" ht="12.9" customHeight="1">
      <c r="D393" t="s">
        <v>310</v>
      </c>
      <c r="Q393" s="1409">
        <f>'[1]Data Port'!$G281</f>
        <v>0</v>
      </c>
      <c r="R393" s="1409"/>
      <c r="S393" s="1409"/>
      <c r="T393" s="1409"/>
      <c r="U393" s="1409"/>
      <c r="V393" t="s">
        <v>311</v>
      </c>
      <c r="AG393" s="1822">
        <f>'[1]Data Port'!$G288</f>
        <v>0</v>
      </c>
      <c r="AH393" s="1822"/>
      <c r="AI393" s="1822"/>
      <c r="AJ393" s="1822"/>
    </row>
    <row r="394" spans="4:36" ht="12.9" customHeight="1">
      <c r="D394" t="s">
        <v>312</v>
      </c>
      <c r="Q394" s="1756">
        <f>'[1]Data Port'!$G282</f>
        <v>1.4E-2</v>
      </c>
      <c r="R394" s="1756"/>
      <c r="S394" s="1756"/>
      <c r="T394" s="1756"/>
      <c r="U394" s="1756"/>
      <c r="V394" t="s">
        <v>1161</v>
      </c>
      <c r="AG394" s="1822">
        <f>'[1]Data Port'!$G289</f>
        <v>0</v>
      </c>
      <c r="AH394" s="1822"/>
      <c r="AI394" s="1822"/>
      <c r="AJ394" s="1822"/>
    </row>
    <row r="395" spans="4:36" ht="12.9" customHeight="1">
      <c r="D395" t="s">
        <v>1160</v>
      </c>
      <c r="AG395" s="1822">
        <f>'[1]Data Port'!$G290</f>
        <v>0</v>
      </c>
      <c r="AH395" s="1822"/>
      <c r="AI395" s="1822"/>
      <c r="AJ395" s="1822"/>
    </row>
    <row r="396" spans="4:36" ht="12.9" customHeight="1">
      <c r="AG396" s="456"/>
      <c r="AH396" s="456"/>
      <c r="AI396" s="456"/>
      <c r="AJ396" s="456"/>
    </row>
    <row r="397" spans="4:36" ht="12.9" customHeight="1">
      <c r="D397" s="3" t="s">
        <v>2139</v>
      </c>
      <c r="AG397" s="456"/>
      <c r="AH397" s="456"/>
      <c r="AI397" s="1332" t="s">
        <v>668</v>
      </c>
      <c r="AJ397" s="1332"/>
    </row>
    <row r="398" spans="4:36" ht="12.9" customHeight="1">
      <c r="D398" s="3" t="s">
        <v>1665</v>
      </c>
      <c r="T398" s="1751"/>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1664</v>
      </c>
      <c r="T399" s="1751"/>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1658</v>
      </c>
      <c r="S401" s="1751">
        <f>'[1]Data Port'!$G$292</f>
        <v>0</v>
      </c>
      <c r="T401" s="1751"/>
      <c r="U401" s="1751"/>
      <c r="V401" t="s">
        <v>1659</v>
      </c>
      <c r="AG401" s="1826">
        <f>'[1]Data Port'!$G$297</f>
        <v>0</v>
      </c>
      <c r="AH401" s="1826"/>
      <c r="AI401" s="1826"/>
      <c r="AJ401" s="1826"/>
    </row>
    <row r="402" spans="1:36" ht="12.9" customHeight="1">
      <c r="D402" s="3" t="s">
        <v>1656</v>
      </c>
      <c r="S402" s="1751">
        <f>'[1]Data Port'!$G$293</f>
        <v>0</v>
      </c>
      <c r="T402" s="1751"/>
      <c r="U402" s="1751"/>
      <c r="V402" t="s">
        <v>1661</v>
      </c>
      <c r="AE402" s="1821">
        <f>'[1]Data Port'!$G$298</f>
        <v>0</v>
      </c>
      <c r="AF402" s="1821"/>
      <c r="AG402" s="1821"/>
      <c r="AH402" s="1821"/>
      <c r="AI402" s="1821"/>
      <c r="AJ402" s="1821"/>
    </row>
    <row r="403" spans="1:36" ht="12.9" customHeight="1">
      <c r="D403" s="3" t="s">
        <v>1657</v>
      </c>
      <c r="K403" s="1802">
        <f>'[1]Data Port'!$G294</f>
        <v>0</v>
      </c>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 customHeight="1">
      <c r="D404" s="3" t="s">
        <v>1660</v>
      </c>
      <c r="K404" s="1802">
        <f>'[1]Data Port'!$G295</f>
        <v>0</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 customHeight="1">
      <c r="D405" s="3" t="s">
        <v>1663</v>
      </c>
      <c r="E405" s="477"/>
      <c r="F405" s="477"/>
      <c r="G405" s="477"/>
      <c r="H405" s="477"/>
      <c r="I405" s="477"/>
      <c r="J405" s="477"/>
      <c r="K405" s="477"/>
      <c r="L405" s="477"/>
      <c r="M405" s="477"/>
      <c r="N405" s="477"/>
      <c r="O405" s="477"/>
      <c r="P405" s="477"/>
      <c r="Q405" s="477"/>
      <c r="R405" s="477"/>
      <c r="S405" s="1831">
        <f>'[1]Data Port'!$G$296</f>
        <v>0</v>
      </c>
      <c r="T405" s="1831"/>
      <c r="U405" s="1831"/>
      <c r="V405" s="1831"/>
      <c r="W405" s="1831"/>
      <c r="X405" s="1831"/>
      <c r="Y405" s="1831"/>
      <c r="Z405" s="1831"/>
      <c r="AA405" s="1831"/>
      <c r="AB405" s="1831"/>
      <c r="AC405" s="1831"/>
      <c r="AD405" s="1831"/>
      <c r="AE405" s="1831"/>
      <c r="AF405" s="1831"/>
      <c r="AG405" s="1831"/>
      <c r="AH405" s="1831"/>
      <c r="AI405" s="1831"/>
      <c r="AJ405" s="1831"/>
    </row>
    <row r="406" spans="1:36" ht="12.9"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588</v>
      </c>
      <c r="B409" s="2"/>
      <c r="C409" s="2" t="s">
        <v>111</v>
      </c>
    </row>
    <row r="410" spans="1:36" ht="12.9" customHeight="1">
      <c r="B410" s="2"/>
      <c r="C410" s="2"/>
      <c r="D410" s="2" t="s">
        <v>1202</v>
      </c>
      <c r="I410" s="1417" t="str">
        <f>'[1]Data Port'!$G$302</f>
        <v>Other (Specify below)</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 customHeight="1">
      <c r="E411" t="s">
        <v>106</v>
      </c>
      <c r="R411" s="1332" t="str">
        <f>'[1]Data Port'!$G$303</f>
        <v>Yes</v>
      </c>
      <c r="S411" s="1332"/>
      <c r="AC411" s="27" t="s">
        <v>569</v>
      </c>
      <c r="AD411" s="1664">
        <f>ROUNDUP('[1]Initial Screen'!$N$30+'[1]Initial Screen'!$N$32,0)</f>
        <v>13</v>
      </c>
      <c r="AE411" s="1664"/>
    </row>
    <row r="412" spans="1:36" ht="12.9" customHeight="1">
      <c r="E412" t="s">
        <v>107</v>
      </c>
      <c r="R412" s="1332" t="str">
        <f>'[1]Data Port'!$G$305</f>
        <v>N/A</v>
      </c>
      <c r="S412" s="1332"/>
      <c r="AC412" s="27" t="s">
        <v>569</v>
      </c>
      <c r="AD412" s="1664"/>
      <c r="AE412" s="1664"/>
    </row>
    <row r="413" spans="1:36" ht="12.9" customHeight="1">
      <c r="E413" t="s">
        <v>108</v>
      </c>
      <c r="S413" s="1332" t="str">
        <f>'[1]Data Port'!$G$306</f>
        <v>N/A</v>
      </c>
      <c r="T413" s="1332"/>
    </row>
    <row r="414" spans="1:36" ht="12.9" customHeight="1">
      <c r="E414" t="s">
        <v>170</v>
      </c>
      <c r="H414" s="1757" t="str">
        <f>'[1]Data Port'!$G$307</f>
        <v>13-story residential mixed-use buildling (12-stories of residential over 1-stories of parking)</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 customHeight="1"/>
    <row r="417" spans="1:39" ht="12.9" customHeight="1">
      <c r="A417" s="2" t="s">
        <v>589</v>
      </c>
      <c r="B417" s="2"/>
      <c r="C417" s="2"/>
      <c r="D417" s="2" t="s">
        <v>114</v>
      </c>
      <c r="AF417" s="2" t="s">
        <v>955</v>
      </c>
    </row>
    <row r="418" spans="1:39" ht="12.9" customHeight="1">
      <c r="E418" s="1820"/>
      <c r="F418" s="1820"/>
      <c r="G418" s="1820"/>
      <c r="H418" s="13" t="s">
        <v>115</v>
      </c>
      <c r="I418" s="1820"/>
      <c r="J418" s="1820"/>
      <c r="K418" s="1820"/>
      <c r="L418" t="s">
        <v>116</v>
      </c>
      <c r="N418" s="27" t="s">
        <v>574</v>
      </c>
      <c r="P418" s="1760">
        <f>'[1]Data Port'!$G$309</f>
        <v>0.24850780532598715</v>
      </c>
      <c r="Q418" s="1760"/>
      <c r="R418" s="1760"/>
      <c r="S418" t="s">
        <v>117</v>
      </c>
      <c r="W418" s="1830">
        <f>IF(E418&gt;0,(E418*I418),(P418*43560))</f>
        <v>10825</v>
      </c>
      <c r="X418" s="1830"/>
      <c r="Y418" s="1830"/>
      <c r="Z418" t="s">
        <v>118</v>
      </c>
      <c r="AF418" s="1761">
        <f>IFERROR(IF(P418&gt;0,(AG437/P418),(AG437/(W418/43560))),0)</f>
        <v>1014.0526558891455</v>
      </c>
      <c r="AG418" s="1761"/>
      <c r="AH418" s="1761"/>
      <c r="AM418" s="3"/>
    </row>
    <row r="419" spans="1:39" ht="12.9" customHeight="1">
      <c r="E419" t="s">
        <v>51</v>
      </c>
    </row>
    <row r="420" spans="1:39" ht="12.9"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 customHeight="1">
      <c r="E421" s="118" t="s">
        <v>1734</v>
      </c>
      <c r="F421" s="1013"/>
      <c r="G421" s="1013"/>
      <c r="H421" s="1013"/>
      <c r="I421" s="1759">
        <f>'[1]Data Port'!$G$309</f>
        <v>0.24850780532598715</v>
      </c>
      <c r="J421" s="1759"/>
      <c r="K421" s="1759"/>
      <c r="L421" s="1013"/>
      <c r="M421" s="118"/>
      <c r="N421" s="1013"/>
      <c r="O421" s="1013"/>
      <c r="P421" s="1442">
        <f>(DU755+DU778+DU800)/I421</f>
        <v>1086.4849884526559</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591</v>
      </c>
      <c r="B423" s="2"/>
      <c r="C423" s="2"/>
      <c r="D423" s="2" t="s">
        <v>120</v>
      </c>
    </row>
    <row r="424" spans="1:39" ht="12.9" customHeight="1">
      <c r="E424" t="s">
        <v>121</v>
      </c>
      <c r="P424" s="1332">
        <f>'[1]Data Port'!$G$312</f>
        <v>1</v>
      </c>
      <c r="Q424" s="1332"/>
      <c r="S424" t="s">
        <v>189</v>
      </c>
      <c r="AE424" s="1332">
        <f>'[1]Data Port'!$G$313</f>
        <v>1</v>
      </c>
      <c r="AF424" s="1332"/>
    </row>
    <row r="425" spans="1:39" ht="12.9" customHeight="1">
      <c r="E425" t="s">
        <v>190</v>
      </c>
      <c r="P425" s="1332">
        <f>'[1]Data Port'!$G$314</f>
        <v>0</v>
      </c>
      <c r="Q425" s="1332"/>
      <c r="S425" t="s">
        <v>131</v>
      </c>
      <c r="AE425" s="1332" t="str">
        <f>'[1]Data Port'!$G$315</f>
        <v>N/A</v>
      </c>
      <c r="AF425" s="1332"/>
    </row>
    <row r="426" spans="1:39" ht="12.9" customHeight="1">
      <c r="F426" s="28" t="s">
        <v>132</v>
      </c>
    </row>
    <row r="427" spans="1:39" ht="12.9"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 customHeight="1">
      <c r="E429" t="s">
        <v>607</v>
      </c>
      <c r="P429" s="1"/>
      <c r="Q429" s="1332" t="str">
        <f>'[1]Data Port'!$G$316</f>
        <v>Yes</v>
      </c>
      <c r="R429" s="1332"/>
    </row>
    <row r="430" spans="1:39" ht="12.9" customHeight="1">
      <c r="F430" t="s">
        <v>608</v>
      </c>
      <c r="P430" s="1"/>
      <c r="Q430" s="1"/>
      <c r="AF430" s="1332" t="str">
        <f>'[1]Data Port'!$G$317</f>
        <v>N/A</v>
      </c>
      <c r="AG430" s="1828"/>
    </row>
    <row r="431" spans="1:39" ht="12.9" customHeight="1"/>
    <row r="432" spans="1:39" ht="12.9" customHeight="1">
      <c r="A432" s="2"/>
      <c r="B432" s="2"/>
      <c r="C432" s="2"/>
      <c r="E432" s="4" t="s">
        <v>308</v>
      </c>
      <c r="Z432" s="1332" t="str">
        <f>'[1]Data Port'!$G$319</f>
        <v>No</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706</v>
      </c>
      <c r="G434" s="40"/>
      <c r="I434" s="40"/>
      <c r="J434" s="40"/>
      <c r="K434" s="40"/>
      <c r="L434" s="40"/>
      <c r="M434" s="40"/>
      <c r="N434" s="40"/>
      <c r="O434" s="28"/>
      <c r="P434" s="40"/>
      <c r="Q434" s="40"/>
      <c r="R434" s="40"/>
      <c r="S434" s="40"/>
      <c r="T434" s="40"/>
      <c r="U434" s="40"/>
      <c r="V434" s="40"/>
      <c r="W434" s="40"/>
      <c r="Z434" s="1332" t="str">
        <f>'[1]Data Port'!$G$320</f>
        <v>N/A</v>
      </c>
      <c r="AA434" s="1332"/>
    </row>
    <row r="435" spans="1:55" ht="12.9" customHeight="1"/>
    <row r="436" spans="1:55" ht="12.9" customHeight="1">
      <c r="A436" s="2" t="s">
        <v>466</v>
      </c>
      <c r="B436" s="2"/>
      <c r="C436" s="2"/>
      <c r="D436" s="2" t="s">
        <v>763</v>
      </c>
      <c r="AF436" s="48"/>
    </row>
    <row r="437" spans="1:55" ht="12.9"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5">
        <f>'[1]Data Port'!$G$322</f>
        <v>252</v>
      </c>
      <c r="AH437" s="1825"/>
      <c r="AI437" s="1825"/>
      <c r="AJ437" s="1825"/>
    </row>
    <row r="438" spans="1:55" ht="12.9"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f>'[1]Data Port'!$G$323</f>
        <v>0</v>
      </c>
      <c r="AH438" s="1614"/>
      <c r="AI438" s="1614"/>
      <c r="AJ438" s="1614"/>
    </row>
    <row r="439" spans="1:55" ht="12.9"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f>'[1]Data Port'!$G$324</f>
        <v>249</v>
      </c>
      <c r="AH439" s="1825"/>
      <c r="AI439" s="1825"/>
      <c r="AJ439" s="1825"/>
    </row>
    <row r="440" spans="1:55" ht="12.9"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f>'[1]Data Port'!$G$325</f>
        <v>249</v>
      </c>
      <c r="AH440" s="1825"/>
      <c r="AI440" s="1825"/>
      <c r="AJ440" s="1825"/>
    </row>
    <row r="441" spans="1:55" ht="12.9"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1">
        <f>IF(ISERROR(AG440/AG439),0,AG440/AG439)</f>
        <v>1</v>
      </c>
      <c r="AH441" s="1811"/>
      <c r="AI441" s="1811"/>
      <c r="AJ441" s="1811"/>
    </row>
    <row r="442" spans="1:55" ht="12.9"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f>'[1]Data Port'!$G$326</f>
        <v>107326</v>
      </c>
      <c r="AH442" s="1696"/>
      <c r="AI442" s="1696"/>
      <c r="AJ442" s="1696"/>
    </row>
    <row r="443" spans="1:55" ht="12.9"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f>'[1]Data Port'!$G$327</f>
        <v>107326</v>
      </c>
      <c r="AH443" s="1696"/>
      <c r="AI443" s="1696"/>
      <c r="AJ443" s="1696"/>
    </row>
    <row r="444" spans="1:55" ht="12.9"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1">
        <f>IF(ISERROR(AG443/AG442),0,AG443/AG442)</f>
        <v>1</v>
      </c>
      <c r="AH444" s="1811"/>
      <c r="AI444" s="1811"/>
      <c r="AJ444" s="1811"/>
    </row>
    <row r="445" spans="1:55" ht="12.9"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1">
        <f>MIN(IF(AG441&gt;AG444,AG444,AG441),1)</f>
        <v>1</v>
      </c>
      <c r="AH445" s="1811"/>
      <c r="AI445" s="1811"/>
      <c r="AJ445" s="1811"/>
    </row>
    <row r="446" spans="1:55" ht="12.9" customHeight="1">
      <c r="D446" s="1743" t="s">
        <v>2085</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f>'[1]Data Port'!$G$328</f>
        <v>1E-4</v>
      </c>
      <c r="AH446" s="1696"/>
      <c r="AI446" s="1696"/>
      <c r="AJ446" s="1696"/>
      <c r="AZ446" s="34"/>
      <c r="BA446" s="34"/>
      <c r="BB446" s="34"/>
      <c r="BC446" s="34"/>
    </row>
    <row r="447" spans="1:55" ht="12.9"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f>'[1]Data Port'!$G$329</f>
        <v>0</v>
      </c>
      <c r="AH447" s="1696"/>
      <c r="AI447" s="1696"/>
      <c r="AJ447" s="1696"/>
      <c r="AZ447" s="3"/>
      <c r="BA447" s="3"/>
      <c r="BB447" s="3"/>
      <c r="BC447" s="3"/>
    </row>
    <row r="448" spans="1:55" ht="12.9" customHeight="1">
      <c r="D448" s="1743" t="s">
        <v>1203</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'[1]Data Port'!$G$330</f>
        <v>17553</v>
      </c>
      <c r="AH448" s="1696"/>
      <c r="AI448" s="1696"/>
      <c r="AJ448" s="1696"/>
      <c r="AZ448" s="3"/>
      <c r="BA448" s="3"/>
      <c r="BB448" s="3"/>
      <c r="BC448" s="3"/>
    </row>
    <row r="449" spans="1:55" ht="12.9" customHeight="1">
      <c r="D449" s="1743" t="s">
        <v>1036</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f>'[1]Data Port'!$G$331</f>
        <v>8389.375</v>
      </c>
      <c r="AH449" s="1696"/>
      <c r="AI449" s="1696"/>
      <c r="AJ449" s="1696"/>
      <c r="BB449" s="3"/>
      <c r="BC449" s="3"/>
    </row>
    <row r="450" spans="1:55" ht="12.9" customHeight="1">
      <c r="D450" s="1767" t="s">
        <v>1037</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AG442+AG446+AG448+AG449</f>
        <v>133268.3751</v>
      </c>
      <c r="AH450" s="1849"/>
      <c r="AI450" s="1849"/>
      <c r="AJ450" s="1849"/>
      <c r="AZ450" s="3"/>
      <c r="BA450" s="3"/>
      <c r="BB450" s="3"/>
      <c r="BC450" s="3"/>
    </row>
    <row r="451" spans="1:55" ht="12.9"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271569.68650793651</v>
      </c>
      <c r="AD454" s="1817"/>
      <c r="AE454" s="1817"/>
      <c r="AF454" s="1817"/>
      <c r="AG454" s="177"/>
      <c r="AH454" s="177"/>
      <c r="AI454" s="177"/>
      <c r="AJ454" s="183"/>
      <c r="AZ454" s="3"/>
      <c r="BA454" s="3" t="str">
        <f>AG575</f>
        <v>Yes</v>
      </c>
      <c r="BB454" s="3"/>
      <c r="BC454" s="3"/>
    </row>
    <row r="455" spans="1:55" ht="12.9"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271569.68650793651</v>
      </c>
      <c r="AD455" s="1817"/>
      <c r="AE455" s="1817"/>
      <c r="AF455" s="1817"/>
      <c r="AG455" s="177"/>
      <c r="AH455" s="177"/>
      <c r="AI455" s="177"/>
      <c r="AJ455" s="183"/>
      <c r="AZ455" s="3"/>
      <c r="BA455" s="3"/>
      <c r="BB455" s="3"/>
      <c r="BC455" s="3"/>
    </row>
    <row r="456" spans="1:55" ht="12.9"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238667.44444444444</v>
      </c>
      <c r="AD456" s="1817"/>
      <c r="AE456" s="1817"/>
      <c r="AF456" s="1817"/>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3" t="s">
        <v>2097</v>
      </c>
      <c r="E465" s="1754"/>
      <c r="F465" s="1754"/>
      <c r="G465" s="1754"/>
      <c r="H465" s="1754"/>
      <c r="I465" s="1754"/>
      <c r="J465" s="1754"/>
      <c r="K465" s="1754"/>
      <c r="L465" s="1754"/>
      <c r="M465" s="1754"/>
      <c r="N465" s="1754"/>
      <c r="O465" s="1754"/>
      <c r="P465" s="1754"/>
      <c r="Q465" s="1754"/>
      <c r="R465" s="1754"/>
      <c r="S465" s="1754"/>
      <c r="T465" s="1754"/>
      <c r="U465" s="1754"/>
      <c r="V465" s="1755"/>
      <c r="W465" s="1666">
        <f>'[1]Data Port'!$G$333</f>
        <v>0</v>
      </c>
      <c r="X465" s="1667"/>
      <c r="Y465" s="1668"/>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f>'[1]Data Port'!$G$334</f>
        <v>0</v>
      </c>
      <c r="X466" s="1667"/>
      <c r="Y466" s="1668"/>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f>'[1]Data Port'!$G$335</f>
        <v>0</v>
      </c>
      <c r="X467" s="1667"/>
      <c r="Y467" s="1668"/>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f>'[1]Data Port'!$G$336</f>
        <v>0</v>
      </c>
      <c r="X468" s="1667"/>
      <c r="Y468" s="1668"/>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f>'[1]Data Port'!$G$337</f>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f>'[1]Data Port'!$G$338</f>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6">
        <f>'[1]Data Port'!$G$339</f>
        <v>0</v>
      </c>
      <c r="X471" s="1667"/>
      <c r="Y471" s="1668"/>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3" t="s">
        <v>2187</v>
      </c>
      <c r="E472" s="1853"/>
      <c r="F472" s="1853"/>
      <c r="G472" s="1853"/>
      <c r="H472" s="1853"/>
      <c r="I472" s="1853"/>
      <c r="J472" s="1853"/>
      <c r="K472" s="1853"/>
      <c r="L472" s="1853"/>
      <c r="M472" s="1853"/>
      <c r="N472" s="1853"/>
      <c r="O472" s="1853"/>
      <c r="P472" s="1853"/>
      <c r="Q472" s="1853"/>
      <c r="R472" s="1853"/>
      <c r="S472" s="1853"/>
      <c r="T472" s="1853"/>
      <c r="U472" s="1853"/>
      <c r="V472" s="1854"/>
      <c r="W472" s="1666">
        <f>'[1]Data Port'!$G$340</f>
        <v>0</v>
      </c>
      <c r="X472" s="1667"/>
      <c r="Y472" s="1668"/>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3" t="s">
        <v>1652</v>
      </c>
      <c r="E473" s="1754"/>
      <c r="F473" s="1754"/>
      <c r="G473" s="1754"/>
      <c r="H473" s="1754"/>
      <c r="I473" s="1754"/>
      <c r="J473" s="1754"/>
      <c r="K473" s="1754"/>
      <c r="L473" s="1754"/>
      <c r="M473" s="1754"/>
      <c r="N473" s="1754"/>
      <c r="O473" s="1754"/>
      <c r="P473" s="1754"/>
      <c r="Q473" s="1754"/>
      <c r="R473" s="1754"/>
      <c r="S473" s="1754"/>
      <c r="T473" s="1754"/>
      <c r="U473" s="1754"/>
      <c r="V473" s="1755"/>
      <c r="W473" s="1666">
        <f>'[1]Data Port'!$G$341</f>
        <v>38</v>
      </c>
      <c r="X473" s="1667"/>
      <c r="Y473" s="1668"/>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4" t="s">
        <v>809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 customHeight="1">
      <c r="AZ482" s="3"/>
      <c r="BB482" s="3"/>
      <c r="BC482" s="3"/>
    </row>
    <row r="483" spans="1:55" ht="12.9" customHeight="1">
      <c r="A483" s="2" t="s">
        <v>319</v>
      </c>
      <c r="C483" s="2" t="s">
        <v>807</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 customHeight="1">
      <c r="B486" s="45" t="s">
        <v>393</v>
      </c>
      <c r="C486" s="5"/>
      <c r="D486" s="5"/>
      <c r="E486" s="5"/>
      <c r="F486" s="5"/>
      <c r="G486" s="5"/>
      <c r="H486" s="5"/>
      <c r="I486" s="5"/>
      <c r="J486" s="5"/>
      <c r="K486" s="5"/>
      <c r="L486" s="5"/>
      <c r="M486" s="5"/>
      <c r="N486" s="5"/>
      <c r="O486" s="5"/>
      <c r="P486" s="5"/>
      <c r="Q486" s="1578" t="str">
        <f>'[1]Data Port'!$G$344</f>
        <v>Mixed Use Residential</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 customHeight="1">
      <c r="B487" s="45" t="s">
        <v>394</v>
      </c>
      <c r="C487" s="5"/>
      <c r="D487" s="5"/>
      <c r="E487" s="5"/>
      <c r="F487" s="5"/>
      <c r="G487" s="5"/>
      <c r="H487" s="5"/>
      <c r="I487" s="5"/>
      <c r="J487" s="5"/>
      <c r="K487" s="5"/>
      <c r="L487" s="5"/>
      <c r="M487" s="5"/>
      <c r="N487" s="5"/>
      <c r="O487" s="5"/>
      <c r="P487" s="5"/>
      <c r="Q487" s="1578" t="str">
        <f>'[1]Data Port'!$G$345</f>
        <v>D-BV-3; 250 DUA</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 customHeight="1">
      <c r="B488" s="45" t="s">
        <v>395</v>
      </c>
      <c r="C488" s="5"/>
      <c r="D488" s="5"/>
      <c r="E488" s="5"/>
      <c r="F488" s="5"/>
      <c r="G488" s="5"/>
      <c r="H488" s="5"/>
      <c r="I488" s="5"/>
      <c r="J488" s="5"/>
      <c r="K488" s="5"/>
      <c r="L488" s="5"/>
      <c r="M488" s="5"/>
      <c r="N488" s="5"/>
      <c r="O488" s="5"/>
      <c r="P488" s="5"/>
      <c r="Q488" s="1578" t="str">
        <f>'[1]Data Port'!$G$346</f>
        <v>D-BV-3; 250 DUA</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 customHeight="1">
      <c r="B489" s="1837" t="s">
        <v>396</v>
      </c>
      <c r="C489" s="1838"/>
      <c r="D489" s="1838"/>
      <c r="E489" s="1838"/>
      <c r="F489" s="1838"/>
      <c r="G489" s="1838"/>
      <c r="H489" s="1838"/>
      <c r="I489" s="1838"/>
      <c r="J489" s="1838"/>
      <c r="K489" s="1838"/>
      <c r="L489" s="1838"/>
      <c r="M489" s="1838"/>
      <c r="N489" s="1838"/>
      <c r="O489" s="1838"/>
      <c r="P489" s="1839"/>
      <c r="Q489" s="1843" t="s">
        <v>668</v>
      </c>
      <c r="R489" s="1844"/>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 customHeight="1">
      <c r="B491" s="895" t="s">
        <v>1669</v>
      </c>
      <c r="C491" s="873"/>
      <c r="D491" s="873"/>
      <c r="E491" s="873"/>
      <c r="F491" s="873"/>
      <c r="G491" s="873"/>
      <c r="H491" s="873"/>
      <c r="I491" s="873"/>
      <c r="J491" s="873"/>
      <c r="K491" s="873"/>
      <c r="L491" s="873"/>
      <c r="M491" s="873"/>
      <c r="N491" s="873"/>
      <c r="O491" s="873"/>
      <c r="P491" s="873"/>
      <c r="Q491" s="1850" t="str">
        <f>'[1]Data Port'!$G$348</f>
        <v>No</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 customHeight="1">
      <c r="B492" s="45" t="s">
        <v>397</v>
      </c>
      <c r="C492" s="5"/>
      <c r="D492" s="5"/>
      <c r="E492" s="5"/>
      <c r="F492" s="5"/>
      <c r="G492" s="5"/>
      <c r="H492" s="5"/>
      <c r="I492" s="5"/>
      <c r="J492" s="5"/>
      <c r="K492" s="5"/>
      <c r="L492" s="5"/>
      <c r="M492" s="5"/>
      <c r="N492" s="5"/>
      <c r="O492" s="5"/>
      <c r="P492" s="5"/>
      <c r="Q492" s="1578" t="str">
        <f>'[1]Data Port'!$G$349</f>
        <v>128 Max</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 customHeight="1">
      <c r="B493" s="45" t="s">
        <v>398</v>
      </c>
      <c r="C493" s="5"/>
      <c r="D493" s="5"/>
      <c r="E493" s="5"/>
      <c r="F493" s="5"/>
      <c r="G493" s="5"/>
      <c r="H493" s="5"/>
      <c r="I493" s="5"/>
      <c r="J493" s="5"/>
      <c r="K493" s="5"/>
      <c r="L493" s="5"/>
      <c r="M493" s="5"/>
      <c r="N493" s="5"/>
      <c r="O493" s="5"/>
      <c r="P493" s="5"/>
      <c r="Q493" s="1578">
        <f>'[1]Data Port'!$G$350</f>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 customHeight="1">
      <c r="B494" s="121" t="s">
        <v>1666</v>
      </c>
      <c r="C494" s="5"/>
      <c r="D494" s="5"/>
      <c r="E494" s="5"/>
      <c r="F494" s="5"/>
      <c r="G494" s="5"/>
      <c r="H494" s="5"/>
      <c r="I494" s="5"/>
      <c r="J494" s="5"/>
      <c r="K494" s="5"/>
      <c r="L494" s="5"/>
      <c r="M494" s="5"/>
      <c r="N494" s="5"/>
      <c r="O494" s="5"/>
      <c r="P494" s="5"/>
      <c r="Q494" s="1578">
        <f>'[1]Data Port'!$G$351</f>
        <v>8</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 customHeight="1">
      <c r="B495" s="121" t="s">
        <v>1667</v>
      </c>
      <c r="C495" s="5"/>
      <c r="D495" s="5"/>
      <c r="E495" s="5"/>
      <c r="F495" s="5"/>
      <c r="G495" s="5"/>
      <c r="H495" s="5"/>
      <c r="I495" s="5"/>
      <c r="J495" s="5"/>
      <c r="K495" s="5"/>
      <c r="L495" s="5"/>
      <c r="M495" s="1447">
        <f>'[1]Data Port'!$G$351</f>
        <v>8</v>
      </c>
      <c r="N495" s="1448"/>
      <c r="O495" s="1448"/>
      <c r="P495" s="1449"/>
      <c r="Q495" s="121" t="s">
        <v>1668</v>
      </c>
      <c r="R495" s="5"/>
      <c r="S495" s="5"/>
      <c r="T495" s="5"/>
      <c r="U495" s="5"/>
      <c r="V495" s="5"/>
      <c r="W495" s="5"/>
      <c r="X495" s="5"/>
      <c r="Y495" s="5"/>
      <c r="Z495" s="5"/>
      <c r="AA495" s="5"/>
      <c r="AB495" s="5"/>
      <c r="AC495" s="5"/>
      <c r="AD495" s="5"/>
      <c r="AE495" s="5"/>
      <c r="AF495" s="5"/>
      <c r="AG495" s="5"/>
      <c r="AH495" s="1447">
        <f>M495-Q494</f>
        <v>0</v>
      </c>
      <c r="AI495" s="1448"/>
      <c r="AJ495" s="1448"/>
      <c r="AK495" s="1449"/>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2.9"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9</v>
      </c>
      <c r="AD502" s="1664"/>
      <c r="AE502" s="1664"/>
      <c r="AF502" s="1664"/>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590</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 customHeight="1">
      <c r="B504" s="1674"/>
      <c r="C504" s="1434"/>
      <c r="D504" s="1434"/>
      <c r="E504" s="1434"/>
      <c r="F504" s="1434"/>
      <c r="G504" s="1434"/>
      <c r="H504" s="1435"/>
      <c r="I504" t="s">
        <v>409</v>
      </c>
      <c r="AC504" s="1663" t="s">
        <v>590</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 customHeight="1">
      <c r="B505" s="1674"/>
      <c r="C505" s="1434"/>
      <c r="D505" s="1434"/>
      <c r="E505" s="1434"/>
      <c r="F505" s="1434"/>
      <c r="G505" s="1434"/>
      <c r="H505" s="1435"/>
      <c r="I505" t="s">
        <v>410</v>
      </c>
      <c r="AC505" s="1663" t="s">
        <v>590</v>
      </c>
      <c r="AD505" s="1664"/>
      <c r="AE505" s="1664"/>
      <c r="AF505" s="1664"/>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 customHeight="1">
      <c r="B506" s="1674"/>
      <c r="C506" s="1434"/>
      <c r="D506" s="1434"/>
      <c r="E506" s="1434"/>
      <c r="F506" s="1434"/>
      <c r="G506" s="1434"/>
      <c r="H506" s="1435"/>
      <c r="I506" t="s">
        <v>411</v>
      </c>
      <c r="AC506" s="1663">
        <v>5</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 customHeight="1">
      <c r="B507" s="1674"/>
      <c r="C507" s="1434"/>
      <c r="D507" s="1434"/>
      <c r="E507" s="1434"/>
      <c r="F507" s="1434"/>
      <c r="G507" s="1434"/>
      <c r="H507" s="1435"/>
      <c r="I507" s="3" t="s">
        <v>412</v>
      </c>
      <c r="AC507" s="1348">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8"/>
      <c r="AC508" s="1663" t="s">
        <v>590</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1673</v>
      </c>
      <c r="AC509" s="1825" t="s">
        <v>668</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1670</v>
      </c>
      <c r="AC510" s="1348"/>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2101</v>
      </c>
    </row>
    <row r="514" spans="2:66" ht="12.9"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tr">
        <f>LEFT(TEXT('[1]Data Port'!$G$2,"m/d/yyyy"),1)</f>
        <v>9</v>
      </c>
      <c r="AD514" s="1664"/>
      <c r="AE514" s="1664"/>
      <c r="AF514" s="1664"/>
      <c r="AG514" s="13" t="s">
        <v>402</v>
      </c>
      <c r="AH514" s="1403" t="str">
        <f>RIGHT(TEXT('[1]Data Port'!$G$2,"mm/dd/yyyy"),4)</f>
        <v>2025</v>
      </c>
      <c r="AI514" s="1403"/>
      <c r="AJ514" s="1403"/>
      <c r="AK514" s="1404"/>
      <c r="AZ514" s="3"/>
      <c r="BA514" s="3"/>
      <c r="BB514" s="3"/>
      <c r="BC514" s="3"/>
      <c r="BD514" s="3"/>
      <c r="BE514" s="3"/>
      <c r="BF514" s="3"/>
      <c r="BG514" s="3"/>
      <c r="BH514" s="3"/>
      <c r="BI514" s="3"/>
      <c r="BJ514" s="3"/>
      <c r="BK514" s="3"/>
      <c r="BL514" s="3"/>
      <c r="BM514" s="3"/>
      <c r="BN514" s="3" t="s">
        <v>2102</v>
      </c>
    </row>
    <row r="515" spans="2:66" ht="12.9" customHeight="1">
      <c r="B515" s="1674"/>
      <c r="C515" s="1434"/>
      <c r="D515" s="1434"/>
      <c r="E515" s="1434"/>
      <c r="F515" s="1434"/>
      <c r="G515" s="1434"/>
      <c r="H515" s="1435"/>
      <c r="I515" t="s">
        <v>415</v>
      </c>
      <c r="AC515" s="1663" t="str">
        <f>LEFT(TEXT('[1]Data Port'!$G$2,"m/d/yyyy"),1)</f>
        <v>9</v>
      </c>
      <c r="AD515" s="1664"/>
      <c r="AE515" s="1664"/>
      <c r="AF515" s="1664"/>
      <c r="AG515" s="13" t="s">
        <v>402</v>
      </c>
      <c r="AH515" s="1403" t="str">
        <f>RIGHT(TEXT('[1]Data Port'!$G$2,"mm/dd/yyyy"),4)</f>
        <v>2025</v>
      </c>
      <c r="AI515" s="1403"/>
      <c r="AJ515" s="1403"/>
      <c r="AK515" s="1404"/>
      <c r="AZ515" s="3"/>
      <c r="BA515" s="3"/>
      <c r="BB515" s="3"/>
      <c r="BC515" s="3"/>
      <c r="BD515" s="3"/>
      <c r="BE515" s="3"/>
      <c r="BF515" s="3"/>
      <c r="BG515" s="3"/>
      <c r="BH515" s="3"/>
      <c r="BI515" s="3"/>
      <c r="BJ515" s="3"/>
      <c r="BK515" s="3"/>
      <c r="BL515" s="3"/>
      <c r="BM515" s="3"/>
      <c r="BN515" s="3" t="s">
        <v>2103</v>
      </c>
    </row>
    <row r="516" spans="2:66" ht="12.9"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t="str">
        <f>LEFT(TEXT('[1]Data Port'!$G$4,"m/d/yyyy"),1)</f>
        <v>5</v>
      </c>
      <c r="AD516" s="1664"/>
      <c r="AE516" s="1664"/>
      <c r="AF516" s="1664"/>
      <c r="AG516" s="38" t="s">
        <v>402</v>
      </c>
      <c r="AH516" s="1403" t="str">
        <f>RIGHT(TEXT('[1]Data Port'!$G$4,"mm/dd/yyyy"),4)</f>
        <v>2026</v>
      </c>
      <c r="AI516" s="1403"/>
      <c r="AJ516" s="1403"/>
      <c r="AK516" s="1404"/>
      <c r="AZ516" s="3"/>
      <c r="BA516" s="3"/>
      <c r="BB516" s="3"/>
      <c r="BC516" s="3"/>
      <c r="BD516" s="3"/>
      <c r="BE516" s="3"/>
      <c r="BF516" s="3"/>
      <c r="BG516" s="3"/>
      <c r="BH516" s="3"/>
      <c r="BI516" s="3"/>
      <c r="BJ516" s="3"/>
      <c r="BK516" s="3"/>
      <c r="BL516" s="3"/>
      <c r="BM516" s="3"/>
      <c r="BN516" s="3" t="s">
        <v>2104</v>
      </c>
    </row>
    <row r="517" spans="2:66" ht="12.9"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48" t="str">
        <f>LEFT(TEXT('[1]Data Port'!$G$2,"m/d/yyyy"),1)</f>
        <v>9</v>
      </c>
      <c r="AD517" s="1338"/>
      <c r="AE517" s="1338"/>
      <c r="AF517" s="1338"/>
      <c r="AG517" s="129" t="s">
        <v>402</v>
      </c>
      <c r="AH517" s="1403" t="str">
        <f>RIGHT(TEXT('[1]Data Port'!$G$2,"mm/dd/yyyy"),4)</f>
        <v>2025</v>
      </c>
      <c r="AI517" s="1403"/>
      <c r="AJ517" s="1403"/>
      <c r="AK517" s="1404"/>
      <c r="AZ517" s="3"/>
      <c r="BB517" s="3"/>
      <c r="BC517" s="3"/>
      <c r="BD517" s="3"/>
      <c r="BE517" s="3"/>
      <c r="BF517" s="3"/>
      <c r="BG517" s="3"/>
      <c r="BH517" s="3"/>
      <c r="BI517" s="3"/>
      <c r="BJ517" s="3"/>
      <c r="BK517" s="3"/>
      <c r="BL517" s="3"/>
      <c r="BM517" s="3"/>
      <c r="BN517" s="3" t="s">
        <v>2105</v>
      </c>
    </row>
    <row r="518" spans="2:66" ht="12.9" customHeight="1">
      <c r="B518" s="1674"/>
      <c r="C518" s="1434"/>
      <c r="D518" s="1434"/>
      <c r="E518" s="1434"/>
      <c r="F518" s="1434"/>
      <c r="G518" s="1434"/>
      <c r="H518" s="1435"/>
      <c r="I518" t="s">
        <v>415</v>
      </c>
      <c r="AC518" s="1663" t="str">
        <f>LEFT(TEXT('[1]Data Port'!$G$2,"m/d/yyyy"),1)</f>
        <v>9</v>
      </c>
      <c r="AD518" s="1664"/>
      <c r="AE518" s="1664"/>
      <c r="AF518" s="1664"/>
      <c r="AG518" s="13" t="s">
        <v>402</v>
      </c>
      <c r="AH518" s="1403" t="str">
        <f>RIGHT(TEXT('[1]Data Port'!$G$2,"mm/dd/yyyy"),4)</f>
        <v>2025</v>
      </c>
      <c r="AI518" s="1403"/>
      <c r="AJ518" s="1403"/>
      <c r="AK518" s="1404"/>
      <c r="BB518" s="3"/>
      <c r="BC518" s="3"/>
      <c r="BD518" s="3"/>
      <c r="BE518" s="3"/>
      <c r="BF518" s="3"/>
      <c r="BG518" s="3"/>
      <c r="BH518" s="3"/>
      <c r="BI518" s="3"/>
      <c r="BJ518" s="3"/>
      <c r="BK518" s="3"/>
      <c r="BL518" s="3"/>
      <c r="BM518" s="3"/>
      <c r="BN518" s="3" t="s">
        <v>2106</v>
      </c>
    </row>
    <row r="519" spans="2:66" ht="12.9"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t="str">
        <f>LEFT(TEXT('[1]Data Port'!$G$4,"m/d/yyyy"),1)</f>
        <v>5</v>
      </c>
      <c r="AD519" s="1664"/>
      <c r="AE519" s="1664"/>
      <c r="AF519" s="1664"/>
      <c r="AG519" s="38" t="s">
        <v>402</v>
      </c>
      <c r="AH519" s="1403" t="str">
        <f>RIGHT(TEXT('[1]Data Port'!$G$4,"mm/dd/yyyy"),4)</f>
        <v>2026</v>
      </c>
      <c r="AI519" s="1403"/>
      <c r="AJ519" s="1403"/>
      <c r="AK519" s="1404"/>
      <c r="BB519" s="3"/>
      <c r="BC519" s="3"/>
      <c r="BD519" s="3"/>
      <c r="BE519" s="3"/>
      <c r="BF519" s="3"/>
      <c r="BG519" s="3"/>
      <c r="BH519" s="3"/>
      <c r="BI519" s="3"/>
      <c r="BJ519" s="3"/>
      <c r="BK519" s="3"/>
      <c r="BL519" s="3"/>
      <c r="BM519" s="3"/>
      <c r="BN519" s="3" t="s">
        <v>2107</v>
      </c>
    </row>
    <row r="520" spans="2:66" ht="12.9" customHeight="1">
      <c r="B520" s="1673" t="s">
        <v>418</v>
      </c>
      <c r="C520" s="1432"/>
      <c r="D520" s="1432"/>
      <c r="E520" s="1432"/>
      <c r="F520" s="1432"/>
      <c r="G520" s="1432"/>
      <c r="H520" s="1433"/>
      <c r="I520" s="41" t="s">
        <v>419</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48" t="s">
        <v>590</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2108</v>
      </c>
    </row>
    <row r="521" spans="2:66" ht="12.9" customHeight="1">
      <c r="B521" s="1674"/>
      <c r="C521" s="1434"/>
      <c r="D521" s="1434"/>
      <c r="E521" s="1434"/>
      <c r="F521" s="1434"/>
      <c r="G521" s="1434"/>
      <c r="H521" s="1435"/>
      <c r="I521" s="114" t="s">
        <v>420</v>
      </c>
      <c r="AB521" s="65"/>
      <c r="AC521" s="1663" t="s">
        <v>590</v>
      </c>
      <c r="AD521" s="1664"/>
      <c r="AE521" s="1664"/>
      <c r="AF521" s="1664"/>
      <c r="AG521" s="13" t="s">
        <v>402</v>
      </c>
      <c r="AH521" s="1403"/>
      <c r="AI521" s="1403"/>
      <c r="AJ521" s="1403"/>
      <c r="AK521" s="1404"/>
      <c r="AZ521" s="3"/>
      <c r="BB521" s="3"/>
      <c r="BC521" s="3"/>
      <c r="BD521" s="3"/>
      <c r="BE521" s="3"/>
      <c r="BF521" s="3"/>
      <c r="BG521" s="3"/>
      <c r="BH521" s="3"/>
      <c r="BI521" s="3"/>
      <c r="BJ521" s="3"/>
      <c r="BK521" s="3"/>
      <c r="BL521" s="3"/>
      <c r="BM521" s="3"/>
      <c r="BN521" s="3" t="s">
        <v>2109</v>
      </c>
    </row>
    <row r="522" spans="2:66" ht="12.9"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590</v>
      </c>
      <c r="AD522" s="1664"/>
      <c r="AE522" s="1664"/>
      <c r="AF522" s="1664"/>
      <c r="AG522" s="38" t="s">
        <v>402</v>
      </c>
      <c r="AH522" s="1403"/>
      <c r="AI522" s="1403"/>
      <c r="AJ522" s="1403"/>
      <c r="AK522" s="1404"/>
      <c r="AZ522" s="3"/>
      <c r="BA522" s="3"/>
      <c r="BB522" s="3"/>
      <c r="BC522" s="3"/>
      <c r="BD522" s="3"/>
      <c r="BE522" s="3"/>
      <c r="BF522" s="3"/>
      <c r="BG522" s="3"/>
      <c r="BH522" s="3"/>
      <c r="BI522" s="3"/>
      <c r="BJ522" s="3"/>
      <c r="BK522" s="3"/>
      <c r="BL522" s="3"/>
      <c r="BM522" s="3"/>
      <c r="BN522" s="3" t="s">
        <v>2110</v>
      </c>
    </row>
    <row r="523" spans="2:66" ht="12.9" customHeight="1">
      <c r="B523" s="1674"/>
      <c r="C523" s="1434"/>
      <c r="D523" s="1434"/>
      <c r="E523" s="1434"/>
      <c r="F523" s="1434"/>
      <c r="G523" s="1434"/>
      <c r="H523" s="1435"/>
      <c r="I523" s="42" t="s">
        <v>422</v>
      </c>
      <c r="J523" s="42"/>
      <c r="K523" s="42"/>
      <c r="L523" s="42"/>
      <c r="M523" s="42"/>
      <c r="N523" s="42"/>
      <c r="O523" s="1750" t="s">
        <v>334</v>
      </c>
      <c r="P523" s="1751"/>
      <c r="Q523" s="1751"/>
      <c r="R523" s="1751"/>
      <c r="S523" s="1751"/>
      <c r="T523" s="1751"/>
      <c r="U523" s="1751"/>
      <c r="V523" s="1751"/>
      <c r="W523" s="1751"/>
      <c r="X523" s="1751"/>
      <c r="Y523" s="1751"/>
      <c r="Z523" s="1751"/>
      <c r="AA523" s="1751"/>
      <c r="AC523" s="1663" t="s">
        <v>590</v>
      </c>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2111</v>
      </c>
    </row>
    <row r="524" spans="2:66" ht="12.9" customHeight="1">
      <c r="B524" s="1674"/>
      <c r="C524" s="1434"/>
      <c r="D524" s="1434"/>
      <c r="E524" s="1434"/>
      <c r="F524" s="1434"/>
      <c r="G524" s="1434"/>
      <c r="H524" s="1435"/>
      <c r="I524" t="s">
        <v>420</v>
      </c>
      <c r="AC524" s="1663" t="s">
        <v>590</v>
      </c>
      <c r="AD524" s="1664"/>
      <c r="AE524" s="1664"/>
      <c r="AF524" s="1664"/>
      <c r="AG524" s="13" t="s">
        <v>402</v>
      </c>
      <c r="AH524" s="1403"/>
      <c r="AI524" s="1403"/>
      <c r="AJ524" s="1403"/>
      <c r="AK524" s="1404"/>
      <c r="AZ524" s="3"/>
      <c r="BA524" s="3"/>
      <c r="BB524" s="3"/>
      <c r="BC524" s="3"/>
      <c r="BD524" s="3"/>
      <c r="BE524" s="3"/>
      <c r="BF524" s="3"/>
      <c r="BG524" s="3"/>
      <c r="BH524" s="3"/>
      <c r="BI524" s="3"/>
      <c r="BJ524" s="3"/>
      <c r="BK524" s="3"/>
      <c r="BL524" s="3"/>
      <c r="BM524" s="3"/>
      <c r="BN524" s="3" t="s">
        <v>2112</v>
      </c>
    </row>
    <row r="525" spans="2:66" ht="12.9"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3"/>
      <c r="AI525" s="1403"/>
      <c r="AJ525" s="1403"/>
      <c r="AK525" s="1404"/>
      <c r="AZ525" s="3"/>
      <c r="BA525" s="3"/>
      <c r="BB525" s="3"/>
      <c r="BC525" s="3"/>
      <c r="BD525" s="3"/>
      <c r="BE525" s="3"/>
      <c r="BF525" s="3"/>
      <c r="BG525" s="3"/>
      <c r="BH525" s="3"/>
      <c r="BI525" s="3"/>
      <c r="BJ525" s="3"/>
      <c r="BK525" s="3"/>
      <c r="BL525" s="3"/>
      <c r="BM525" s="3"/>
      <c r="BN525" s="3" t="s">
        <v>2113</v>
      </c>
    </row>
    <row r="526" spans="2:66" ht="12.9" customHeight="1">
      <c r="B526" s="1674"/>
      <c r="C526" s="1434"/>
      <c r="D526" s="1434"/>
      <c r="E526" s="1434"/>
      <c r="F526" s="1434"/>
      <c r="G526" s="1434"/>
      <c r="H526" s="1435"/>
      <c r="I526" s="42" t="s">
        <v>422</v>
      </c>
      <c r="J526" s="42"/>
      <c r="K526" s="42"/>
      <c r="L526" s="42"/>
      <c r="M526" s="42"/>
      <c r="N526" s="42"/>
      <c r="O526" s="1750" t="s">
        <v>334</v>
      </c>
      <c r="P526" s="1751"/>
      <c r="Q526" s="1751"/>
      <c r="R526" s="1751"/>
      <c r="S526" s="1751"/>
      <c r="T526" s="1751"/>
      <c r="U526" s="1751"/>
      <c r="V526" s="1751"/>
      <c r="W526" s="1751"/>
      <c r="X526" s="1751"/>
      <c r="Y526" s="1751"/>
      <c r="Z526" s="1751"/>
      <c r="AA526" s="1751"/>
      <c r="AC526" s="1663" t="s">
        <v>590</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2114</v>
      </c>
    </row>
    <row r="527" spans="2:66" ht="12.9" customHeight="1">
      <c r="B527" s="1674"/>
      <c r="C527" s="1434"/>
      <c r="D527" s="1434"/>
      <c r="E527" s="1434"/>
      <c r="F527" s="1434"/>
      <c r="G527" s="1434"/>
      <c r="H527" s="1435"/>
      <c r="I527" t="s">
        <v>420</v>
      </c>
      <c r="AC527" s="1663" t="s">
        <v>590</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2115</v>
      </c>
    </row>
    <row r="528" spans="2:66" ht="12.9"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2116</v>
      </c>
    </row>
    <row r="529" spans="1:66" ht="12.9" customHeight="1">
      <c r="B529" s="1674"/>
      <c r="C529" s="1434"/>
      <c r="D529" s="1434"/>
      <c r="E529" s="1434"/>
      <c r="F529" s="1434"/>
      <c r="G529" s="1434"/>
      <c r="H529" s="1435"/>
      <c r="I529" s="42" t="s">
        <v>422</v>
      </c>
      <c r="J529" s="42"/>
      <c r="K529" s="42"/>
      <c r="L529" s="42"/>
      <c r="M529" s="42"/>
      <c r="N529" s="42"/>
      <c r="O529" s="1750" t="s">
        <v>334</v>
      </c>
      <c r="P529" s="1751"/>
      <c r="Q529" s="1751"/>
      <c r="R529" s="1751"/>
      <c r="S529" s="1751"/>
      <c r="T529" s="1751"/>
      <c r="U529" s="1751"/>
      <c r="V529" s="1751"/>
      <c r="W529" s="1751"/>
      <c r="X529" s="1751"/>
      <c r="Y529" s="1751"/>
      <c r="Z529" s="1751"/>
      <c r="AA529" s="1751"/>
      <c r="AC529" s="1663" t="s">
        <v>590</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2117</v>
      </c>
    </row>
    <row r="530" spans="1:66" ht="12.9" customHeight="1">
      <c r="B530" s="1674"/>
      <c r="C530" s="1434"/>
      <c r="D530" s="1434"/>
      <c r="E530" s="1434"/>
      <c r="F530" s="1434"/>
      <c r="G530" s="1434"/>
      <c r="H530" s="1435"/>
      <c r="I530" t="s">
        <v>420</v>
      </c>
      <c r="AC530" s="1663" t="s">
        <v>590</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2118</v>
      </c>
    </row>
    <row r="531" spans="1:66" ht="12.9"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2119</v>
      </c>
    </row>
    <row r="532" spans="1:66" ht="12.9" customHeight="1">
      <c r="B532" s="1674"/>
      <c r="C532" s="1434"/>
      <c r="D532" s="1434"/>
      <c r="E532" s="1434"/>
      <c r="F532" s="1434"/>
      <c r="G532" s="1434"/>
      <c r="H532" s="1435"/>
      <c r="I532" s="42" t="s">
        <v>422</v>
      </c>
      <c r="J532" s="42"/>
      <c r="K532" s="42"/>
      <c r="L532" s="42"/>
      <c r="M532" s="42"/>
      <c r="N532" s="42"/>
      <c r="O532" s="1750" t="s">
        <v>334</v>
      </c>
      <c r="P532" s="1751"/>
      <c r="Q532" s="1751"/>
      <c r="R532" s="1751"/>
      <c r="S532" s="1751"/>
      <c r="T532" s="1751"/>
      <c r="U532" s="1751"/>
      <c r="V532" s="1751"/>
      <c r="W532" s="1751"/>
      <c r="X532" s="1751"/>
      <c r="Y532" s="1751"/>
      <c r="Z532" s="1751"/>
      <c r="AA532" s="1751"/>
      <c r="AC532" s="1663" t="s">
        <v>590</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2120</v>
      </c>
    </row>
    <row r="533" spans="1:66" ht="12.9" customHeight="1">
      <c r="B533" s="1674"/>
      <c r="C533" s="1434"/>
      <c r="D533" s="1434"/>
      <c r="E533" s="1434"/>
      <c r="F533" s="1434"/>
      <c r="G533" s="1434"/>
      <c r="H533" s="1435"/>
      <c r="I533" t="s">
        <v>420</v>
      </c>
      <c r="AC533" s="1663" t="s">
        <v>590</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2121</v>
      </c>
    </row>
    <row r="534" spans="1:66" ht="12.9"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2122</v>
      </c>
    </row>
    <row r="535" spans="1:66" ht="12.9" customHeight="1">
      <c r="B535" s="1674"/>
      <c r="C535" s="1434"/>
      <c r="D535" s="1434"/>
      <c r="E535" s="1434"/>
      <c r="F535" s="1434"/>
      <c r="G535" s="1434"/>
      <c r="H535" s="1435"/>
      <c r="I535" s="42" t="s">
        <v>422</v>
      </c>
      <c r="J535" s="42"/>
      <c r="K535" s="42"/>
      <c r="L535" s="42"/>
      <c r="M535" s="42"/>
      <c r="N535" s="42"/>
      <c r="O535" s="1750" t="s">
        <v>334</v>
      </c>
      <c r="P535" s="1751"/>
      <c r="Q535" s="1751"/>
      <c r="R535" s="1751"/>
      <c r="S535" s="1751"/>
      <c r="T535" s="1751"/>
      <c r="U535" s="1751"/>
      <c r="V535" s="1751"/>
      <c r="W535" s="1751"/>
      <c r="X535" s="1751"/>
      <c r="Y535" s="1751"/>
      <c r="Z535" s="1751"/>
      <c r="AA535" s="1751"/>
      <c r="AC535" s="1663" t="s">
        <v>590</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2123</v>
      </c>
    </row>
    <row r="536" spans="1:66" ht="12.9" customHeight="1">
      <c r="B536" s="1674"/>
      <c r="C536" s="1434"/>
      <c r="D536" s="1434"/>
      <c r="E536" s="1434"/>
      <c r="F536" s="1434"/>
      <c r="G536" s="1434"/>
      <c r="H536" s="1435"/>
      <c r="I536" t="s">
        <v>420</v>
      </c>
      <c r="AC536" s="1663" t="s">
        <v>590</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2124</v>
      </c>
    </row>
    <row r="537" spans="1:66" ht="12.9"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2125</v>
      </c>
    </row>
    <row r="538" spans="1:66" ht="12.9" customHeight="1">
      <c r="B538" s="1674"/>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3" t="str">
        <f>LEFT(TEXT('[1]Data Port'!$G$4,"m/d/yyyy"),1)</f>
        <v>5</v>
      </c>
      <c r="AD538" s="1664"/>
      <c r="AE538" s="1664"/>
      <c r="AF538" s="1664"/>
      <c r="AG538" s="38" t="s">
        <v>402</v>
      </c>
      <c r="AH538" s="1403" t="str">
        <f>RIGHT(TEXT('[1]Data Port'!$G$4,"mm/dd/yyyy"),4)</f>
        <v>2026</v>
      </c>
      <c r="AI538" s="1403"/>
      <c r="AJ538" s="1403"/>
      <c r="AK538" s="1404"/>
      <c r="AZ538" s="3"/>
      <c r="BA538" s="3"/>
      <c r="BB538" s="3"/>
      <c r="BC538" s="3"/>
      <c r="BD538" s="3"/>
      <c r="BE538" s="3"/>
      <c r="BF538" s="3"/>
      <c r="BG538" s="3"/>
      <c r="BH538" s="3"/>
      <c r="BI538" s="3"/>
      <c r="BJ538" s="3"/>
      <c r="BK538" s="3"/>
      <c r="BL538" s="3"/>
      <c r="BM538" s="3"/>
      <c r="BN538" s="3"/>
    </row>
    <row r="539" spans="1:66" ht="12.9" customHeight="1">
      <c r="B539" s="1674"/>
      <c r="C539" s="1434"/>
      <c r="D539" s="1434"/>
      <c r="E539" s="1434"/>
      <c r="F539" s="1434"/>
      <c r="G539" s="1434"/>
      <c r="H539" s="1435"/>
      <c r="I539" t="s">
        <v>562</v>
      </c>
      <c r="AC539" s="1663" t="str">
        <f>LEFT(TEXT('[1]Data Port'!$G$4,"m/d/yyyy"),1)</f>
        <v>5</v>
      </c>
      <c r="AD539" s="1664"/>
      <c r="AE539" s="1664"/>
      <c r="AF539" s="1664"/>
      <c r="AG539" s="13" t="s">
        <v>402</v>
      </c>
      <c r="AH539" s="1403" t="str">
        <f>RIGHT(TEXT('[1]Data Port'!$G$4,"mm/dd/yyyy"),4)</f>
        <v>2026</v>
      </c>
      <c r="AI539" s="1403"/>
      <c r="AJ539" s="1403"/>
      <c r="AK539" s="1404"/>
      <c r="AZ539" s="3"/>
      <c r="BA539" s="3"/>
      <c r="BB539" s="3"/>
      <c r="BC539" s="3"/>
      <c r="BD539" s="3"/>
      <c r="BE539" s="3"/>
      <c r="BF539" s="3"/>
      <c r="BG539" s="3"/>
      <c r="BH539" s="3"/>
      <c r="BI539" s="3"/>
      <c r="BJ539" s="3"/>
      <c r="BK539" s="3"/>
      <c r="BL539" s="3"/>
      <c r="BM539" s="3"/>
      <c r="BN539" s="3"/>
    </row>
    <row r="540" spans="1:66" ht="12.9" customHeight="1">
      <c r="B540" s="1674"/>
      <c r="C540" s="1434"/>
      <c r="D540" s="1434"/>
      <c r="E540" s="1434"/>
      <c r="F540" s="1434"/>
      <c r="G540" s="1434"/>
      <c r="H540" s="1435"/>
      <c r="I540" t="s">
        <v>563</v>
      </c>
      <c r="AC540" s="1663" t="str">
        <f>LEFT(TEXT('[1]Data Port'!$G$5,"m/d/yyyy"),1)</f>
        <v>8</v>
      </c>
      <c r="AD540" s="1664"/>
      <c r="AE540" s="1664"/>
      <c r="AF540" s="1664"/>
      <c r="AG540" s="38" t="s">
        <v>402</v>
      </c>
      <c r="AH540" s="1403" t="str">
        <f>RIGHT(TEXT('[1]Data Port'!$G$5,"mm/dd/yyyy"),4)</f>
        <v>2027</v>
      </c>
      <c r="AI540" s="1403"/>
      <c r="AJ540" s="1403"/>
      <c r="AK540" s="1404"/>
      <c r="AZ540" s="3"/>
      <c r="BA540" s="3"/>
      <c r="BB540" s="3"/>
      <c r="BC540" s="3"/>
      <c r="BD540" s="3"/>
      <c r="BE540" s="3"/>
      <c r="BF540" s="3"/>
      <c r="BG540" s="3"/>
      <c r="BH540" s="3"/>
      <c r="BI540" s="3"/>
      <c r="BJ540" s="3"/>
      <c r="BK540" s="3"/>
      <c r="BL540" s="3"/>
      <c r="BM540" s="3"/>
      <c r="BN540" s="3"/>
    </row>
    <row r="541" spans="1:66" ht="12.9" customHeight="1">
      <c r="B541" s="1674"/>
      <c r="C541" s="1434"/>
      <c r="D541" s="1434"/>
      <c r="E541" s="1434"/>
      <c r="F541" s="1434"/>
      <c r="G541" s="1434"/>
      <c r="H541" s="1435"/>
      <c r="I541" t="s">
        <v>564</v>
      </c>
      <c r="AC541" s="1663" t="str">
        <f>LEFT(TEXT('[1]Data Port'!$G$5,"m/d/yyyy"),1)</f>
        <v>8</v>
      </c>
      <c r="AD541" s="1664"/>
      <c r="AE541" s="1664"/>
      <c r="AF541" s="1664"/>
      <c r="AG541" s="38" t="s">
        <v>402</v>
      </c>
      <c r="AH541" s="1403" t="str">
        <f>RIGHT(TEXT('[1]Data Port'!$G$5,"mm/dd/yyyy"),4)</f>
        <v>2027</v>
      </c>
      <c r="AI541" s="1403"/>
      <c r="AJ541" s="1403"/>
      <c r="AK541" s="1404"/>
      <c r="AZ541" s="3"/>
      <c r="BA541" s="3"/>
      <c r="BB541" s="3"/>
      <c r="BC541" s="3"/>
      <c r="BD541" s="3"/>
      <c r="BE541" s="3"/>
      <c r="BF541" s="3"/>
      <c r="BG541" s="3"/>
      <c r="BH541" s="3"/>
      <c r="BI541" s="3"/>
      <c r="BJ541" s="3"/>
      <c r="BK541" s="3"/>
      <c r="BL541" s="3"/>
      <c r="BM541" s="3"/>
      <c r="BN541" s="3"/>
    </row>
    <row r="542" spans="1:66" ht="12.9" customHeight="1">
      <c r="B542" s="1675"/>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3" t="str">
        <f>LEFT(TEXT('[1]Data Port'!$G$6,"m/d/yyyy"),1)</f>
        <v>4</v>
      </c>
      <c r="AD542" s="1664"/>
      <c r="AE542" s="1664"/>
      <c r="AF542" s="1664"/>
      <c r="AG542" s="38" t="s">
        <v>402</v>
      </c>
      <c r="AH542" s="1403" t="str">
        <f>RIGHT(TEXT('[1]Data Port'!$G$6,"mm/dd/yyyy"),4)</f>
        <v>2028</v>
      </c>
      <c r="AI542" s="1403"/>
      <c r="AJ542" s="1403"/>
      <c r="AK542" s="1404"/>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2098</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3" t="s">
        <v>2099</v>
      </c>
      <c r="C551" s="1432"/>
      <c r="D551" s="1432"/>
      <c r="E551" s="1432"/>
      <c r="F551" s="1432"/>
      <c r="G551" s="1432"/>
      <c r="H551" s="1432"/>
      <c r="I551" s="1432"/>
      <c r="J551" s="1432"/>
      <c r="K551" s="1432"/>
      <c r="L551" s="1433"/>
      <c r="M551" s="1673" t="s">
        <v>2100</v>
      </c>
      <c r="N551" s="1432"/>
      <c r="O551" s="1432"/>
      <c r="P551" s="1433"/>
      <c r="Q551" s="1673" t="s">
        <v>2126</v>
      </c>
      <c r="R551" s="1432"/>
      <c r="S551" s="1433"/>
      <c r="T551" s="1673" t="s">
        <v>2127</v>
      </c>
      <c r="U551" s="1432"/>
      <c r="V551" s="1433"/>
      <c r="W551" s="1673" t="s">
        <v>452</v>
      </c>
      <c r="X551" s="1432"/>
      <c r="Y551" s="1433"/>
      <c r="Z551" s="1673" t="s">
        <v>1849</v>
      </c>
      <c r="AA551" s="1432"/>
      <c r="AB551" s="1432"/>
      <c r="AC551" s="1432"/>
      <c r="AD551" s="1433"/>
      <c r="AE551" s="1673" t="s">
        <v>1674</v>
      </c>
      <c r="AF551" s="1432"/>
      <c r="AG551" s="1432"/>
      <c r="AH551" s="1433"/>
      <c r="AI551" s="1673" t="s">
        <v>1675</v>
      </c>
      <c r="AJ551" s="1432"/>
      <c r="AK551" s="1432"/>
      <c r="AL551" s="1433"/>
      <c r="AM551" s="1673" t="s">
        <v>453</v>
      </c>
      <c r="AN551" s="1432"/>
      <c r="AO551" s="1432"/>
      <c r="AP551" s="1432"/>
      <c r="AQ551" s="1432"/>
      <c r="AR551" s="1432"/>
      <c r="AS551" s="1433"/>
      <c r="BB551" s="3"/>
      <c r="BC551" s="3"/>
      <c r="BD551" s="3"/>
      <c r="BE551" s="3"/>
      <c r="BF551" s="3"/>
      <c r="BG551" s="3"/>
      <c r="BH551" s="3" t="s">
        <v>580</v>
      </c>
      <c r="BI551" s="3" t="str">
        <f>AG657</f>
        <v>Yes</v>
      </c>
    </row>
    <row r="552" spans="1:61" ht="12.9"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 customHeight="1">
      <c r="B554" s="51" t="s">
        <v>112</v>
      </c>
      <c r="C554" s="1694" t="str">
        <f>'[1]Data Port'!$G$359</f>
        <v>Keybank National Bank (TE Bonds)</v>
      </c>
      <c r="D554" s="1694"/>
      <c r="E554" s="1694"/>
      <c r="F554" s="1694"/>
      <c r="G554" s="1694"/>
      <c r="H554" s="1694"/>
      <c r="I554" s="1694"/>
      <c r="J554" s="1694"/>
      <c r="K554" s="1694"/>
      <c r="L554" s="1694"/>
      <c r="M554" s="1694" t="str">
        <f>'[1]Data Port'!$G$360</f>
        <v>Loan, Tax-Exempt</v>
      </c>
      <c r="N554" s="1694"/>
      <c r="O554" s="1694"/>
      <c r="P554" s="1694"/>
      <c r="Q554" s="1454"/>
      <c r="R554" s="1454"/>
      <c r="S554" s="1455"/>
      <c r="T554" s="1453"/>
      <c r="U554" s="1454"/>
      <c r="V554" s="1455"/>
      <c r="W554" s="1456">
        <f>'[1]Data Port'!$G$363</f>
        <v>6.2100000000000002E-2</v>
      </c>
      <c r="X554" s="1457"/>
      <c r="Y554" s="1458"/>
      <c r="Z554" s="1695" t="str">
        <f>'[1]Data Port'!$G$364</f>
        <v>Fixed</v>
      </c>
      <c r="AA554" s="1695"/>
      <c r="AB554" s="1695"/>
      <c r="AC554" s="1695"/>
      <c r="AD554" s="1695"/>
      <c r="AE554" s="1676">
        <v>1</v>
      </c>
      <c r="AF554" s="1677"/>
      <c r="AG554" s="1677"/>
      <c r="AH554" s="1678"/>
      <c r="AI554" s="1679"/>
      <c r="AJ554" s="1680"/>
      <c r="AK554" s="1680"/>
      <c r="AL554" s="1681"/>
      <c r="AM554" s="1669">
        <f>ROUND('[1]Data Port'!$G$367,)</f>
        <v>17154743</v>
      </c>
      <c r="AN554" s="1670"/>
      <c r="AO554" s="1670"/>
      <c r="AP554" s="1670"/>
      <c r="AQ554" s="1670"/>
      <c r="AR554" s="1670"/>
      <c r="AS554" s="1671"/>
      <c r="AT554" s="1148"/>
      <c r="AU554" s="1147"/>
      <c r="BB554" s="3"/>
      <c r="BC554" s="3"/>
      <c r="BD554" s="3"/>
      <c r="BE554" s="3"/>
      <c r="BF554" s="3"/>
      <c r="BG554" s="3"/>
      <c r="BH554" s="3"/>
      <c r="BI554" s="3"/>
    </row>
    <row r="555" spans="1:61" ht="12.9" customHeight="1">
      <c r="B555" s="52" t="s">
        <v>113</v>
      </c>
      <c r="C555" s="1682" t="str">
        <f>'[1]Data Port'!$G$370</f>
        <v>Keybank National Bank (TE Recyled bonds)</v>
      </c>
      <c r="D555" s="1682"/>
      <c r="E555" s="1682"/>
      <c r="F555" s="1682"/>
      <c r="G555" s="1682"/>
      <c r="H555" s="1682"/>
      <c r="I555" s="1682"/>
      <c r="J555" s="1682"/>
      <c r="K555" s="1682"/>
      <c r="L555" s="1682"/>
      <c r="M555" s="1694" t="str">
        <f>'[1]Data Port'!$G$371</f>
        <v>Loan, Tax-Exempt, Recycled</v>
      </c>
      <c r="N555" s="1694"/>
      <c r="O555" s="1694"/>
      <c r="P555" s="1694"/>
      <c r="Q555" s="1453"/>
      <c r="R555" s="1454"/>
      <c r="S555" s="1455"/>
      <c r="T555" s="1453"/>
      <c r="U555" s="1454"/>
      <c r="V555" s="1455"/>
      <c r="W555" s="1456">
        <f>'[1]Data Port'!$G$374</f>
        <v>6.2100000000000002E-2</v>
      </c>
      <c r="X555" s="1457"/>
      <c r="Y555" s="1458"/>
      <c r="Z555" s="1695" t="str">
        <f>'[1]Data Port'!$G$375</f>
        <v>Fixed</v>
      </c>
      <c r="AA555" s="1695"/>
      <c r="AB555" s="1695"/>
      <c r="AC555" s="1695"/>
      <c r="AD555" s="1695"/>
      <c r="AE555" s="1676">
        <v>2</v>
      </c>
      <c r="AF555" s="1677"/>
      <c r="AG555" s="1677"/>
      <c r="AH555" s="1678"/>
      <c r="AI555" s="1679"/>
      <c r="AJ555" s="1680"/>
      <c r="AK555" s="1680"/>
      <c r="AL555" s="1681"/>
      <c r="AM555" s="1669">
        <f>ROUND('[1]Data Port'!$G$378,)</f>
        <v>6131826</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 customHeight="1">
      <c r="B556" s="52" t="s">
        <v>119</v>
      </c>
      <c r="C556" s="1682" t="str">
        <f>'[1]Data Port'!$G$381</f>
        <v>Keybank National Bank (Taxable loan)</v>
      </c>
      <c r="D556" s="1682"/>
      <c r="E556" s="1682"/>
      <c r="F556" s="1682"/>
      <c r="G556" s="1682"/>
      <c r="H556" s="1682"/>
      <c r="I556" s="1682"/>
      <c r="J556" s="1682"/>
      <c r="K556" s="1682"/>
      <c r="L556" s="1682"/>
      <c r="M556" s="1694" t="str">
        <f>'[1]Data Port'!$G$382</f>
        <v>Loan, Taxable</v>
      </c>
      <c r="N556" s="1694"/>
      <c r="O556" s="1694"/>
      <c r="P556" s="1694"/>
      <c r="Q556" s="1453"/>
      <c r="R556" s="1454"/>
      <c r="S556" s="1455"/>
      <c r="T556" s="1453"/>
      <c r="U556" s="1454"/>
      <c r="V556" s="1455"/>
      <c r="W556" s="1456">
        <f>'[1]Data Port'!$G$385</f>
        <v>6.6099999999999992E-2</v>
      </c>
      <c r="X556" s="1457"/>
      <c r="Y556" s="1458"/>
      <c r="Z556" s="1695" t="str">
        <f>'[1]Data Port'!$G$386</f>
        <v>Fixed</v>
      </c>
      <c r="AA556" s="1695"/>
      <c r="AB556" s="1695"/>
      <c r="AC556" s="1695"/>
      <c r="AD556" s="1695"/>
      <c r="AE556" s="1676">
        <v>3</v>
      </c>
      <c r="AF556" s="1677"/>
      <c r="AG556" s="1677"/>
      <c r="AH556" s="1678"/>
      <c r="AI556" s="1679"/>
      <c r="AJ556" s="1680"/>
      <c r="AK556" s="1680"/>
      <c r="AL556" s="1681"/>
      <c r="AM556" s="1669">
        <f>ROUND('[1]Data Port'!$G$389+'[1]Data Port'!$G$1333,)</f>
        <v>21617909</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 customHeight="1">
      <c r="B557" s="52" t="s">
        <v>580</v>
      </c>
      <c r="C557" s="1682" t="str">
        <f>'[1]Data Port'!$G$392</f>
        <v>Key CDC (Tax Credit Equity)</v>
      </c>
      <c r="D557" s="1682"/>
      <c r="E557" s="1682"/>
      <c r="F557" s="1682"/>
      <c r="G557" s="1682"/>
      <c r="H557" s="1682"/>
      <c r="I557" s="1682"/>
      <c r="J557" s="1682"/>
      <c r="K557" s="1682"/>
      <c r="L557" s="1682"/>
      <c r="M557" s="1694" t="str">
        <f>'[1]Data Port'!$G$393</f>
        <v>Equity, LIHTC Investor</v>
      </c>
      <c r="N557" s="1694"/>
      <c r="O557" s="1694"/>
      <c r="P557" s="1694"/>
      <c r="Q557" s="1453"/>
      <c r="R557" s="1454"/>
      <c r="S557" s="1455"/>
      <c r="T557" s="1453"/>
      <c r="U557" s="1454"/>
      <c r="V557" s="1455"/>
      <c r="W557" s="1456">
        <f>'[1]Data Port'!$G$396</f>
        <v>0</v>
      </c>
      <c r="X557" s="1457"/>
      <c r="Y557" s="1458"/>
      <c r="Z557" s="1695" t="str">
        <f>'[1]Data Port'!$G$397</f>
        <v>Fixed</v>
      </c>
      <c r="AA557" s="1695"/>
      <c r="AB557" s="1695"/>
      <c r="AC557" s="1695"/>
      <c r="AD557" s="1695"/>
      <c r="AE557" s="1676"/>
      <c r="AF557" s="1677"/>
      <c r="AG557" s="1677"/>
      <c r="AH557" s="1678"/>
      <c r="AI557" s="1679"/>
      <c r="AJ557" s="1680"/>
      <c r="AK557" s="1680"/>
      <c r="AL557" s="1681"/>
      <c r="AM557" s="1669">
        <f>ROUND('[1]Data Port'!$G$400,)</f>
        <v>12805527</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 customHeight="1">
      <c r="B558" s="52" t="s">
        <v>762</v>
      </c>
      <c r="C558" s="1682" t="str">
        <f>'[1]Data Port'!$G$405</f>
        <v>Deferred Fees until Conversion (Developer fee reserves, etc)</v>
      </c>
      <c r="D558" s="1682"/>
      <c r="E558" s="1682"/>
      <c r="F558" s="1682"/>
      <c r="G558" s="1682"/>
      <c r="H558" s="1682"/>
      <c r="I558" s="1682"/>
      <c r="J558" s="1682"/>
      <c r="K558" s="1682"/>
      <c r="L558" s="1682"/>
      <c r="M558" s="1694" t="str">
        <f>'[1]Data Port'!$G$406</f>
        <v>Cost Deferral</v>
      </c>
      <c r="N558" s="1694"/>
      <c r="O558" s="1694"/>
      <c r="P558" s="1694"/>
      <c r="Q558" s="1453"/>
      <c r="R558" s="1454"/>
      <c r="S558" s="1455"/>
      <c r="T558" s="1453"/>
      <c r="U558" s="1454"/>
      <c r="V558" s="1455"/>
      <c r="W558" s="1456">
        <f>'[1]Data Port'!$G$409</f>
        <v>0</v>
      </c>
      <c r="X558" s="1457"/>
      <c r="Y558" s="1458"/>
      <c r="Z558" s="1695" t="str">
        <f>'[1]Data Port'!$G$410</f>
        <v>Fixed</v>
      </c>
      <c r="AA558" s="1695"/>
      <c r="AB558" s="1695"/>
      <c r="AC558" s="1695"/>
      <c r="AD558" s="1695"/>
      <c r="AE558" s="1676"/>
      <c r="AF558" s="1677"/>
      <c r="AG558" s="1677"/>
      <c r="AH558" s="1678"/>
      <c r="AI558" s="1679"/>
      <c r="AJ558" s="1680"/>
      <c r="AK558" s="1680"/>
      <c r="AL558" s="1681"/>
      <c r="AM558" s="1669">
        <f>ROUND('[1]Data Port'!$G$413,)</f>
        <v>3519983</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No</v>
      </c>
    </row>
    <row r="559" spans="1:61" ht="12.9" customHeight="1">
      <c r="B559" s="52" t="s">
        <v>583</v>
      </c>
      <c r="C559" s="1682" t="str">
        <f>'[1]Data Port'!$G$416</f>
        <v>Deferred Developer Fee</v>
      </c>
      <c r="D559" s="1682"/>
      <c r="E559" s="1682"/>
      <c r="F559" s="1682"/>
      <c r="G559" s="1682"/>
      <c r="H559" s="1682"/>
      <c r="I559" s="1682"/>
      <c r="J559" s="1682"/>
      <c r="K559" s="1682"/>
      <c r="L559" s="1682"/>
      <c r="M559" s="1694" t="str">
        <f>'[1]Data Port'!$G$417</f>
        <v>Developer Fee, Deferral</v>
      </c>
      <c r="N559" s="1694"/>
      <c r="O559" s="1694"/>
      <c r="P559" s="1694"/>
      <c r="Q559" s="1453"/>
      <c r="R559" s="1454"/>
      <c r="S559" s="1455"/>
      <c r="T559" s="1453"/>
      <c r="U559" s="1454"/>
      <c r="V559" s="1455"/>
      <c r="W559" s="1456">
        <f>'[1]Data Port'!$G$420</f>
        <v>0</v>
      </c>
      <c r="X559" s="1457"/>
      <c r="Y559" s="1458"/>
      <c r="Z559" s="1695" t="str">
        <f>'[1]Data Port'!$G$421</f>
        <v>Fixed</v>
      </c>
      <c r="AA559" s="1695"/>
      <c r="AB559" s="1695"/>
      <c r="AC559" s="1695"/>
      <c r="AD559" s="1695"/>
      <c r="AE559" s="1676"/>
      <c r="AF559" s="1677"/>
      <c r="AG559" s="1677"/>
      <c r="AH559" s="1678"/>
      <c r="AI559" s="1679"/>
      <c r="AJ559" s="1680"/>
      <c r="AK559" s="1680"/>
      <c r="AL559" s="1681"/>
      <c r="AM559" s="1669">
        <f>ROUND('[1]Data Port'!$G$424,)</f>
        <v>5705573</v>
      </c>
      <c r="AN559" s="1670"/>
      <c r="AO559" s="1670"/>
      <c r="AP559" s="1670"/>
      <c r="AQ559" s="1670"/>
      <c r="AR559" s="1670"/>
      <c r="AS559" s="1671"/>
      <c r="AT559" s="1148" t="str">
        <f t="shared" si="0"/>
        <v/>
      </c>
      <c r="AU559" s="1147"/>
      <c r="BB559" s="3"/>
      <c r="BC559" s="3"/>
      <c r="BD559" s="3"/>
      <c r="BE559" s="3"/>
      <c r="BF559" s="3"/>
      <c r="BG559" s="3"/>
      <c r="BH559" s="3" t="s">
        <v>583</v>
      </c>
      <c r="BI559" s="3" t="str">
        <f>AG665</f>
        <v>No</v>
      </c>
    </row>
    <row r="560" spans="1:61" ht="12.9" customHeight="1">
      <c r="B560" s="52" t="s">
        <v>454</v>
      </c>
      <c r="C560" s="1682" t="str">
        <f>IF(AM560=0,0,'[1]Data Port'!$G$427)</f>
        <v>GP Loan Note</v>
      </c>
      <c r="D560" s="1682"/>
      <c r="E560" s="1682"/>
      <c r="F560" s="1682"/>
      <c r="G560" s="1682"/>
      <c r="H560" s="1682"/>
      <c r="I560" s="1682"/>
      <c r="J560" s="1682"/>
      <c r="K560" s="1682"/>
      <c r="L560" s="1682"/>
      <c r="M560" s="1694" t="str">
        <f>IF(AM560=0,"(select)",'[1]Data Port'!$G$428)</f>
        <v>Loan, General Partner</v>
      </c>
      <c r="N560" s="1694"/>
      <c r="O560" s="1694"/>
      <c r="P560" s="1694"/>
      <c r="Q560" s="1453">
        <f>IF(AM560=0,0,'[1]Data Port'!$G$429)</f>
        <v>180</v>
      </c>
      <c r="R560" s="1454"/>
      <c r="S560" s="1455"/>
      <c r="T560" s="1453"/>
      <c r="U560" s="1454"/>
      <c r="V560" s="1455"/>
      <c r="W560" s="1456">
        <f>IF(AM560=0,0,'[1]Data Port'!$G$431)</f>
        <v>6.3899999999999998E-2</v>
      </c>
      <c r="X560" s="1457"/>
      <c r="Y560" s="1458"/>
      <c r="Z560" s="1695" t="str">
        <f>'[1]Data Port'!$G$432</f>
        <v>Fixed</v>
      </c>
      <c r="AA560" s="1695"/>
      <c r="AB560" s="1695"/>
      <c r="AC560" s="1695"/>
      <c r="AD560" s="1695"/>
      <c r="AE560" s="1676"/>
      <c r="AF560" s="1677"/>
      <c r="AG560" s="1677"/>
      <c r="AH560" s="1678"/>
      <c r="AI560" s="1679"/>
      <c r="AJ560" s="1680"/>
      <c r="AK560" s="1680"/>
      <c r="AL560" s="1681"/>
      <c r="AM560" s="1669">
        <f>ROUND('[1]Data Port'!$G$435,)</f>
        <v>1500000</v>
      </c>
      <c r="AN560" s="1670"/>
      <c r="AO560" s="1670"/>
      <c r="AP560" s="1670"/>
      <c r="AQ560" s="1670"/>
      <c r="AR560" s="1670"/>
      <c r="AS560" s="1671"/>
      <c r="AT560" s="1148" t="str">
        <f t="shared" si="0"/>
        <v/>
      </c>
      <c r="AU560" s="1147"/>
      <c r="BB560" s="3"/>
      <c r="BC560" s="3"/>
      <c r="BD560" s="3"/>
      <c r="BE560" s="3"/>
      <c r="BF560" s="3"/>
      <c r="BG560" s="3"/>
      <c r="BH560" s="3"/>
      <c r="BI560" s="3"/>
    </row>
    <row r="561" spans="1:61" ht="12.9" customHeight="1">
      <c r="B561" s="52" t="s">
        <v>455</v>
      </c>
      <c r="C561" s="1682">
        <f>IF(AM561=0,0,'[1]Data Port'!$G$438)</f>
        <v>0</v>
      </c>
      <c r="D561" s="1682"/>
      <c r="E561" s="1682"/>
      <c r="F561" s="1682"/>
      <c r="G561" s="1682"/>
      <c r="H561" s="1682"/>
      <c r="I561" s="1682"/>
      <c r="J561" s="1682"/>
      <c r="K561" s="1682"/>
      <c r="L561" s="1682"/>
      <c r="M561" s="1694" t="str">
        <f>IF(AM561=0,"(select)",'[1]Data Port'!$G$439)</f>
        <v>(select)</v>
      </c>
      <c r="N561" s="1694"/>
      <c r="O561" s="1694"/>
      <c r="P561" s="1694"/>
      <c r="Q561" s="1453">
        <f>IF(AM561=0,0,'[1]Data Port'!$G$440)</f>
        <v>0</v>
      </c>
      <c r="R561" s="1454"/>
      <c r="S561" s="1455"/>
      <c r="T561" s="1453"/>
      <c r="U561" s="1454"/>
      <c r="V561" s="1455"/>
      <c r="W561" s="1456">
        <f>IF(AM561=0,0,'[1]Data Port'!$G$442)</f>
        <v>0</v>
      </c>
      <c r="X561" s="1457"/>
      <c r="Y561" s="1458"/>
      <c r="Z561" s="1695" t="str">
        <f>'[1]Data Port'!$G$443</f>
        <v>Fixed</v>
      </c>
      <c r="AA561" s="1695"/>
      <c r="AB561" s="1695"/>
      <c r="AC561" s="1695"/>
      <c r="AD561" s="1695"/>
      <c r="AE561" s="1676"/>
      <c r="AF561" s="1677"/>
      <c r="AG561" s="1677"/>
      <c r="AH561" s="1678"/>
      <c r="AI561" s="1679"/>
      <c r="AJ561" s="1680"/>
      <c r="AK561" s="1680"/>
      <c r="AL561" s="1681"/>
      <c r="AM561" s="1669">
        <f>ROUND('[1]Data Port'!$G$446,)</f>
        <v>0</v>
      </c>
      <c r="AN561" s="1670"/>
      <c r="AO561" s="1670"/>
      <c r="AP561" s="1670"/>
      <c r="AQ561" s="1670"/>
      <c r="AR561" s="1670"/>
      <c r="AS561" s="1671"/>
      <c r="AT561" s="1148" t="str">
        <f t="shared" si="0"/>
        <v/>
      </c>
      <c r="AU561" s="1147"/>
      <c r="BB561" s="3"/>
      <c r="BC561" s="3"/>
      <c r="BD561" s="3"/>
      <c r="BE561" s="3"/>
      <c r="BF561" s="3"/>
      <c r="BG561" s="3"/>
      <c r="BH561" s="3"/>
      <c r="BI561" s="3"/>
    </row>
    <row r="562" spans="1:61" ht="12.9" customHeight="1">
      <c r="B562" s="52" t="s">
        <v>460</v>
      </c>
      <c r="C562" s="1682">
        <f>'[1]Data Port'!$G$449</f>
        <v>0</v>
      </c>
      <c r="D562" s="1682"/>
      <c r="E562" s="1682"/>
      <c r="F562" s="1682"/>
      <c r="G562" s="1682"/>
      <c r="H562" s="1682"/>
      <c r="I562" s="1682"/>
      <c r="J562" s="1682"/>
      <c r="K562" s="1682"/>
      <c r="L562" s="1682"/>
      <c r="M562" s="1694">
        <f>'[1]Data Port'!$G$450</f>
        <v>0</v>
      </c>
      <c r="N562" s="1694"/>
      <c r="O562" s="1694"/>
      <c r="P562" s="1694"/>
      <c r="Q562" s="1453"/>
      <c r="R562" s="1454"/>
      <c r="S562" s="1455"/>
      <c r="T562" s="1453"/>
      <c r="U562" s="1454"/>
      <c r="V562" s="1455"/>
      <c r="W562" s="1456">
        <f>'[1]Data Port'!$G$453</f>
        <v>0</v>
      </c>
      <c r="X562" s="1457"/>
      <c r="Y562" s="1458"/>
      <c r="Z562" s="1695" t="str">
        <f>'[1]Data Port'!$G$454</f>
        <v>Fixed</v>
      </c>
      <c r="AA562" s="1695"/>
      <c r="AB562" s="1695"/>
      <c r="AC562" s="1695"/>
      <c r="AD562" s="1695"/>
      <c r="AE562" s="1676"/>
      <c r="AF562" s="1677"/>
      <c r="AG562" s="1677"/>
      <c r="AH562" s="1678"/>
      <c r="AI562" s="1679"/>
      <c r="AJ562" s="1680"/>
      <c r="AK562" s="1680"/>
      <c r="AL562" s="1681"/>
      <c r="AM562" s="1669">
        <f>'[1]Data Port'!$G$457</f>
        <v>0</v>
      </c>
      <c r="AN562" s="1670"/>
      <c r="AO562" s="1670"/>
      <c r="AP562" s="1670"/>
      <c r="AQ562" s="1670"/>
      <c r="AR562" s="1670"/>
      <c r="AS562" s="1671"/>
      <c r="AT562" s="1148" t="str">
        <f t="shared" si="0"/>
        <v/>
      </c>
      <c r="AU562" s="1147"/>
      <c r="BB562" s="3"/>
      <c r="BC562" s="3"/>
      <c r="BD562" s="3"/>
      <c r="BE562" s="3"/>
      <c r="BF562" s="3"/>
      <c r="BG562" s="3"/>
      <c r="BH562" s="3"/>
      <c r="BI562" s="3"/>
    </row>
    <row r="563" spans="1:61" ht="12.9" customHeight="1">
      <c r="B563" s="52" t="s">
        <v>645</v>
      </c>
      <c r="C563" s="1682">
        <f>'[1]Data Port'!$G$460</f>
        <v>0</v>
      </c>
      <c r="D563" s="1682"/>
      <c r="E563" s="1682"/>
      <c r="F563" s="1682"/>
      <c r="G563" s="1682"/>
      <c r="H563" s="1682"/>
      <c r="I563" s="1682"/>
      <c r="J563" s="1682"/>
      <c r="K563" s="1682"/>
      <c r="L563" s="1682"/>
      <c r="M563" s="1694">
        <f>'[1]Data Port'!$G$461</f>
        <v>0</v>
      </c>
      <c r="N563" s="1694"/>
      <c r="O563" s="1694"/>
      <c r="P563" s="1694"/>
      <c r="Q563" s="1453"/>
      <c r="R563" s="1454"/>
      <c r="S563" s="1455"/>
      <c r="T563" s="1453"/>
      <c r="U563" s="1454"/>
      <c r="V563" s="1455"/>
      <c r="W563" s="1456">
        <f>'[1]Data Port'!$G$464</f>
        <v>0</v>
      </c>
      <c r="X563" s="1457"/>
      <c r="Y563" s="1458"/>
      <c r="Z563" s="1695" t="str">
        <f>'[1]Data Port'!$G$465</f>
        <v>Fixed</v>
      </c>
      <c r="AA563" s="1695"/>
      <c r="AB563" s="1695"/>
      <c r="AC563" s="1695"/>
      <c r="AD563" s="1695"/>
      <c r="AE563" s="1676"/>
      <c r="AF563" s="1677"/>
      <c r="AG563" s="1677"/>
      <c r="AH563" s="1678"/>
      <c r="AI563" s="1679"/>
      <c r="AJ563" s="1680"/>
      <c r="AK563" s="1680"/>
      <c r="AL563" s="1681"/>
      <c r="AM563" s="1669">
        <f>'[1]Data Port'!$G$468</f>
        <v>0</v>
      </c>
      <c r="AN563" s="1670"/>
      <c r="AO563" s="1670"/>
      <c r="AP563" s="1670"/>
      <c r="AQ563" s="1670"/>
      <c r="AR563" s="1670"/>
      <c r="AS563" s="1671"/>
      <c r="AT563" s="1148" t="str">
        <f t="shared" si="0"/>
        <v/>
      </c>
      <c r="BB563" s="3"/>
      <c r="BC563" s="3"/>
      <c r="BD563" s="3"/>
      <c r="BE563" s="3"/>
      <c r="BF563" s="3"/>
      <c r="BG563" s="3"/>
      <c r="BH563" s="3"/>
      <c r="BI563" s="3"/>
    </row>
    <row r="564" spans="1:61" ht="12.9" customHeight="1">
      <c r="B564" s="52" t="s">
        <v>362</v>
      </c>
      <c r="C564" s="1682">
        <f>'[1]Data Port'!$G$471</f>
        <v>0</v>
      </c>
      <c r="D564" s="1682"/>
      <c r="E564" s="1682"/>
      <c r="F564" s="1682"/>
      <c r="G564" s="1682"/>
      <c r="H564" s="1682"/>
      <c r="I564" s="1682"/>
      <c r="J564" s="1682"/>
      <c r="K564" s="1682"/>
      <c r="L564" s="1682"/>
      <c r="M564" s="1694">
        <f>'[1]Data Port'!$G$472</f>
        <v>0</v>
      </c>
      <c r="N564" s="1694"/>
      <c r="O564" s="1694"/>
      <c r="P564" s="1694"/>
      <c r="Q564" s="1453"/>
      <c r="R564" s="1454"/>
      <c r="S564" s="1455"/>
      <c r="T564" s="1453"/>
      <c r="U564" s="1454"/>
      <c r="V564" s="1455"/>
      <c r="W564" s="1456">
        <f>'[1]Data Port'!$G$475</f>
        <v>0</v>
      </c>
      <c r="X564" s="1457"/>
      <c r="Y564" s="1458"/>
      <c r="Z564" s="1695" t="str">
        <f>'[1]Data Port'!$G$476</f>
        <v>Fixed</v>
      </c>
      <c r="AA564" s="1695"/>
      <c r="AB564" s="1695"/>
      <c r="AC564" s="1695"/>
      <c r="AD564" s="1695"/>
      <c r="AE564" s="1676"/>
      <c r="AF564" s="1677"/>
      <c r="AG564" s="1677"/>
      <c r="AH564" s="1678"/>
      <c r="AI564" s="1679"/>
      <c r="AJ564" s="1680"/>
      <c r="AK564" s="1680"/>
      <c r="AL564" s="1681"/>
      <c r="AM564" s="1669">
        <f>'[1]Data Port'!$G$479</f>
        <v>0</v>
      </c>
      <c r="AN564" s="1670"/>
      <c r="AO564" s="1670"/>
      <c r="AP564" s="1670"/>
      <c r="AQ564" s="1670"/>
      <c r="AR564" s="1670"/>
      <c r="AS564" s="1671"/>
      <c r="AT564" s="1148" t="str">
        <f t="shared" si="0"/>
        <v/>
      </c>
      <c r="BB564" s="3"/>
      <c r="BC564" s="3"/>
      <c r="BD564" s="3"/>
      <c r="BE564" s="3"/>
      <c r="BF564" s="3"/>
      <c r="BG564" s="3"/>
      <c r="BH564" s="3"/>
      <c r="BI564" s="3"/>
    </row>
    <row r="565" spans="1:61" ht="12.9" customHeight="1">
      <c r="B565" s="52" t="s">
        <v>363</v>
      </c>
      <c r="C565" s="1682">
        <f>'[1]Data Port'!$G$482</f>
        <v>0</v>
      </c>
      <c r="D565" s="1682"/>
      <c r="E565" s="1682"/>
      <c r="F565" s="1682"/>
      <c r="G565" s="1682"/>
      <c r="H565" s="1682"/>
      <c r="I565" s="1682"/>
      <c r="J565" s="1682"/>
      <c r="K565" s="1682"/>
      <c r="L565" s="1682"/>
      <c r="M565" s="1694">
        <f>'[1]Data Port'!$G$483</f>
        <v>0</v>
      </c>
      <c r="N565" s="1694"/>
      <c r="O565" s="1694"/>
      <c r="P565" s="1694"/>
      <c r="Q565" s="1453"/>
      <c r="R565" s="1454"/>
      <c r="S565" s="1455"/>
      <c r="T565" s="1453"/>
      <c r="U565" s="1454"/>
      <c r="V565" s="1455"/>
      <c r="W565" s="1456">
        <f>'[1]Data Port'!$G$486</f>
        <v>0</v>
      </c>
      <c r="X565" s="1457"/>
      <c r="Y565" s="1458"/>
      <c r="Z565" s="1695" t="str">
        <f>'[1]Data Port'!$G$487</f>
        <v>Fixed</v>
      </c>
      <c r="AA565" s="1695"/>
      <c r="AB565" s="1695"/>
      <c r="AC565" s="1695"/>
      <c r="AD565" s="1695"/>
      <c r="AE565" s="1676"/>
      <c r="AF565" s="1677"/>
      <c r="AG565" s="1677"/>
      <c r="AH565" s="1678"/>
      <c r="AI565" s="1679"/>
      <c r="AJ565" s="1680"/>
      <c r="AK565" s="1680"/>
      <c r="AL565" s="1681"/>
      <c r="AM565" s="1669">
        <f>'[1]Data Port'!$G$490</f>
        <v>0</v>
      </c>
      <c r="AN565" s="1670"/>
      <c r="AO565" s="1670"/>
      <c r="AP565" s="1670"/>
      <c r="AQ565" s="1670"/>
      <c r="AR565" s="1670"/>
      <c r="AS565" s="1671"/>
      <c r="AT565" s="1148" t="str">
        <f t="shared" si="0"/>
        <v/>
      </c>
      <c r="BB565" s="3"/>
      <c r="BC565" s="3"/>
      <c r="BD565" s="3"/>
      <c r="BE565" s="3"/>
      <c r="BF565" s="3"/>
      <c r="BG565" s="3"/>
      <c r="BH565" s="3"/>
      <c r="BI565" s="3"/>
    </row>
    <row r="566" spans="1:61" ht="12.9"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68435561</v>
      </c>
      <c r="AN566" s="1617"/>
      <c r="AO566" s="1617"/>
      <c r="AP566" s="1617"/>
      <c r="AQ566" s="1617"/>
      <c r="AR566" s="1617"/>
      <c r="AS566" s="1618"/>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359" t="str">
        <f>C554</f>
        <v>Keybank National Bank (TE Bonds)</v>
      </c>
      <c r="H568" s="1359"/>
      <c r="I568" s="1359"/>
      <c r="J568" s="1359"/>
      <c r="K568" s="1359"/>
      <c r="L568" s="1359"/>
      <c r="M568" s="1359"/>
      <c r="N568" s="1359"/>
      <c r="O568" s="1359"/>
      <c r="P568" s="1359"/>
      <c r="Q568" s="1359"/>
      <c r="R568" s="1359"/>
      <c r="S568" s="8"/>
      <c r="T568" s="55" t="s">
        <v>113</v>
      </c>
      <c r="U568" t="s">
        <v>462</v>
      </c>
      <c r="Z568" s="1359" t="str">
        <f>C555</f>
        <v>Keybank National Bank (TE Recyled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tr">
        <f>'[1]Data Port'!$G$493</f>
        <v>1675 Broadway</v>
      </c>
      <c r="H569" s="1372"/>
      <c r="I569" s="1372"/>
      <c r="J569" s="1372"/>
      <c r="K569" s="1372"/>
      <c r="L569" s="1372"/>
      <c r="M569" s="1372"/>
      <c r="N569" s="1372"/>
      <c r="O569" s="1372"/>
      <c r="P569" s="1372"/>
      <c r="Q569" s="1372"/>
      <c r="R569" s="1372"/>
      <c r="S569" s="8"/>
      <c r="T569" s="22"/>
      <c r="U569" t="s">
        <v>85</v>
      </c>
      <c r="Z569" s="1372" t="str">
        <f>'[1]Data Port'!$G$502</f>
        <v>1675 Broadway</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 customHeight="1">
      <c r="A570" s="22"/>
      <c r="B570" t="s">
        <v>579</v>
      </c>
      <c r="G570" s="1372" t="str">
        <f>'[1]Data Port'!$G$494</f>
        <v>Denver, CO 80202</v>
      </c>
      <c r="H570" s="1372"/>
      <c r="I570" s="1372"/>
      <c r="J570" s="1372"/>
      <c r="K570" s="1372"/>
      <c r="L570" s="1372"/>
      <c r="M570" s="1372"/>
      <c r="N570" s="1372"/>
      <c r="O570" s="1372"/>
      <c r="P570" s="1372"/>
      <c r="Q570" s="1372"/>
      <c r="R570" s="1372"/>
      <c r="T570" s="22"/>
      <c r="U570" t="s">
        <v>579</v>
      </c>
      <c r="Z570" s="1349" t="str">
        <f>'[1]Data Port'!$G$503</f>
        <v>Denver, CO 80202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tr">
        <f>'[1]Data Port'!$G$495</f>
        <v>Eileen Tran</v>
      </c>
      <c r="H571" s="1372"/>
      <c r="I571" s="1372"/>
      <c r="J571" s="1372"/>
      <c r="K571" s="1372"/>
      <c r="L571" s="1372"/>
      <c r="M571" s="1372"/>
      <c r="N571" s="1372"/>
      <c r="O571" s="1372"/>
      <c r="P571" s="1372"/>
      <c r="Q571" s="1372"/>
      <c r="R571" s="1372"/>
      <c r="S571" s="8"/>
      <c r="T571" s="22"/>
      <c r="U571" t="s">
        <v>17</v>
      </c>
      <c r="Z571" s="1349" t="str">
        <f>'[1]Data Port'!$G$504</f>
        <v>Eileen Tran</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316</v>
      </c>
      <c r="G572" s="1346" t="str">
        <f>'[1]Data Port'!$G$496</f>
        <v>720.904.4091</v>
      </c>
      <c r="H572" s="1346"/>
      <c r="I572" s="1346"/>
      <c r="J572" s="1346"/>
      <c r="K572" s="1346"/>
      <c r="L572" s="1346"/>
      <c r="O572" s="33" t="s">
        <v>206</v>
      </c>
      <c r="P572" s="1438"/>
      <c r="Q572" s="1438"/>
      <c r="R572" s="1438"/>
      <c r="S572" s="10"/>
      <c r="T572" s="22"/>
      <c r="U572" t="s">
        <v>316</v>
      </c>
      <c r="Z572" s="1346" t="str">
        <f>'[1]Data Port'!$G$505</f>
        <v>720.904.4091</v>
      </c>
      <c r="AA572" s="1346"/>
      <c r="AB572" s="1346"/>
      <c r="AC572" s="1346"/>
      <c r="AD572" s="1346"/>
      <c r="AE572" s="1346"/>
      <c r="AH572" s="33" t="s">
        <v>206</v>
      </c>
      <c r="AI572" s="1438"/>
      <c r="AJ572" s="1438"/>
      <c r="AK572" s="1438"/>
      <c r="BB572" s="3"/>
      <c r="BC572" s="3"/>
      <c r="BD572" s="3"/>
      <c r="BE572" s="3"/>
      <c r="BF572" s="3"/>
      <c r="BG572" s="3"/>
      <c r="BH572" s="3"/>
      <c r="BI572" s="3"/>
    </row>
    <row r="573" spans="1:61" ht="12.9" customHeight="1">
      <c r="A573" s="22"/>
      <c r="B573" t="s">
        <v>18</v>
      </c>
      <c r="H573" s="1372" t="str">
        <f>'[1]Data Port'!$G$497</f>
        <v>Tax exempt bonds</v>
      </c>
      <c r="I573" s="1372"/>
      <c r="J573" s="1372"/>
      <c r="K573" s="1372"/>
      <c r="L573" s="1372"/>
      <c r="M573" s="1372"/>
      <c r="N573" s="1372"/>
      <c r="O573" s="1372"/>
      <c r="P573" s="1372"/>
      <c r="Q573" s="1372"/>
      <c r="R573" s="1372"/>
      <c r="S573" s="8"/>
      <c r="T573" s="22"/>
      <c r="U573" t="s">
        <v>18</v>
      </c>
      <c r="AA573" s="1372" t="str">
        <f>'[1]Data Port'!$G$506</f>
        <v>Tax exempt bonds -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 customHeight="1">
      <c r="A574" s="22"/>
      <c r="B574" s="320" t="s">
        <v>1183</v>
      </c>
      <c r="H574" s="8"/>
      <c r="I574" s="8"/>
      <c r="J574" s="8"/>
      <c r="K574" s="8"/>
      <c r="L574" s="8"/>
      <c r="M574" s="1697" t="str">
        <f>'[1]Data Port'!$G$498</f>
        <v>N/A</v>
      </c>
      <c r="N574" s="1697"/>
      <c r="O574" s="1697"/>
      <c r="P574" s="1697"/>
      <c r="Q574" s="1697"/>
      <c r="R574" s="1697"/>
      <c r="S574" s="8"/>
      <c r="T574" s="22"/>
      <c r="U574" s="320" t="s">
        <v>1183</v>
      </c>
      <c r="AA574" s="8"/>
      <c r="AB574" s="8"/>
      <c r="AC574" s="8"/>
      <c r="AD574" s="8"/>
      <c r="AE574" s="8"/>
      <c r="AF574" s="1697" t="str">
        <f>'[1]Data Port'!$G$507</f>
        <v>N/A</v>
      </c>
      <c r="AG574" s="1697"/>
      <c r="AH574" s="1697"/>
      <c r="AI574" s="1697"/>
      <c r="AJ574" s="1697"/>
      <c r="AK574" s="1697"/>
      <c r="BB574" s="3"/>
      <c r="BC574" s="3"/>
      <c r="BD574" s="3"/>
      <c r="BE574" s="3"/>
      <c r="BF574" s="3"/>
      <c r="BG574" s="3"/>
      <c r="BH574" s="3"/>
      <c r="BI574" s="3"/>
    </row>
    <row r="575" spans="1:61" ht="12.9" customHeight="1">
      <c r="A575" s="22"/>
      <c r="B575" t="s">
        <v>20</v>
      </c>
      <c r="N575" s="1332" t="str">
        <f>'[1]Data Port'!$G$499</f>
        <v>Yes</v>
      </c>
      <c r="O575" s="1332"/>
      <c r="T575" s="22"/>
      <c r="U575" t="s">
        <v>20</v>
      </c>
      <c r="AG575" s="1332" t="str">
        <f>'[1]Data Port'!$G$508</f>
        <v>Yes</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359" t="str">
        <f>C556</f>
        <v>Keybank National Bank (Taxable loan)</v>
      </c>
      <c r="H577" s="1359"/>
      <c r="I577" s="1359"/>
      <c r="J577" s="1359"/>
      <c r="K577" s="1359"/>
      <c r="L577" s="1359"/>
      <c r="M577" s="1359"/>
      <c r="N577" s="1359"/>
      <c r="O577" s="1359"/>
      <c r="P577" s="1359"/>
      <c r="Q577" s="1359"/>
      <c r="R577" s="1359"/>
      <c r="T577" s="55" t="s">
        <v>580</v>
      </c>
      <c r="U577" t="s">
        <v>462</v>
      </c>
      <c r="Z577" s="1359" t="str">
        <f>C557</f>
        <v>Key CDC (Tax Credit Equity)</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tr">
        <f>'[1]Data Port'!$G$511</f>
        <v>1675 Broadway</v>
      </c>
      <c r="H578" s="1372"/>
      <c r="I578" s="1372"/>
      <c r="J578" s="1372"/>
      <c r="K578" s="1372"/>
      <c r="L578" s="1372"/>
      <c r="M578" s="1372"/>
      <c r="N578" s="1372"/>
      <c r="O578" s="1372"/>
      <c r="P578" s="1372"/>
      <c r="Q578" s="1372"/>
      <c r="R578" s="1372"/>
      <c r="T578" s="22"/>
      <c r="U578" t="s">
        <v>85</v>
      </c>
      <c r="Z578" s="1372" t="str">
        <f>'[1]Data Port'!$G$519</f>
        <v>1675 Broadway</v>
      </c>
      <c r="AA578" s="1372"/>
      <c r="AB578" s="1372"/>
      <c r="AC578" s="1372"/>
      <c r="AD578" s="1372"/>
      <c r="AE578" s="1372"/>
      <c r="AF578" s="1372"/>
      <c r="AG578" s="1372"/>
      <c r="AH578" s="1372"/>
      <c r="AI578" s="1372"/>
      <c r="AJ578" s="1372"/>
      <c r="AK578" s="1372"/>
      <c r="BB578" s="3"/>
      <c r="BC578" s="3"/>
    </row>
    <row r="579" spans="1:55" ht="12.9" customHeight="1">
      <c r="A579" s="22"/>
      <c r="B579" t="s">
        <v>579</v>
      </c>
      <c r="G579" s="1349" t="str">
        <f>'[1]Data Port'!$G$512</f>
        <v>Denver, CO 80202</v>
      </c>
      <c r="H579" s="1349"/>
      <c r="I579" s="1349"/>
      <c r="J579" s="1349"/>
      <c r="K579" s="1349"/>
      <c r="L579" s="1349"/>
      <c r="M579" s="1349"/>
      <c r="N579" s="1349"/>
      <c r="O579" s="1349"/>
      <c r="P579" s="1349"/>
      <c r="Q579" s="1349"/>
      <c r="R579" s="1349"/>
      <c r="T579" s="22"/>
      <c r="U579" t="s">
        <v>579</v>
      </c>
      <c r="Z579" s="1349" t="str">
        <f>'[1]Data Port'!$G$520</f>
        <v>Denver, CO 80202</v>
      </c>
      <c r="AA579" s="1349"/>
      <c r="AB579" s="1349"/>
      <c r="AC579" s="1349"/>
      <c r="AD579" s="1349"/>
      <c r="AE579" s="1349"/>
      <c r="AF579" s="1349"/>
      <c r="AG579" s="1349"/>
      <c r="AH579" s="1349"/>
      <c r="AI579" s="1349"/>
      <c r="AJ579" s="1349"/>
      <c r="AK579" s="1349"/>
      <c r="BB579" s="3"/>
      <c r="BC579" s="3"/>
    </row>
    <row r="580" spans="1:55" ht="12.9" customHeight="1">
      <c r="A580" s="22"/>
      <c r="B580" t="s">
        <v>17</v>
      </c>
      <c r="G580" s="1349" t="str">
        <f>'[1]Data Port'!$G$513</f>
        <v>Eileen Tran</v>
      </c>
      <c r="H580" s="1349"/>
      <c r="I580" s="1349"/>
      <c r="J580" s="1349"/>
      <c r="K580" s="1349"/>
      <c r="L580" s="1349"/>
      <c r="M580" s="1349"/>
      <c r="N580" s="1349"/>
      <c r="O580" s="1349"/>
      <c r="P580" s="1349"/>
      <c r="Q580" s="1349"/>
      <c r="R580" s="1349"/>
      <c r="T580" s="22"/>
      <c r="U580" t="s">
        <v>17</v>
      </c>
      <c r="Z580" s="1349" t="str">
        <f>'[1]Data Port'!$G$521</f>
        <v>Eileen Tran</v>
      </c>
      <c r="AA580" s="1349"/>
      <c r="AB580" s="1349"/>
      <c r="AC580" s="1349"/>
      <c r="AD580" s="1349"/>
      <c r="AE580" s="1349"/>
      <c r="AF580" s="1349"/>
      <c r="AG580" s="1349"/>
      <c r="AH580" s="1349"/>
      <c r="AI580" s="1349"/>
      <c r="AJ580" s="1349"/>
      <c r="AK580" s="1349"/>
      <c r="BB580" s="3"/>
      <c r="BC580" s="3"/>
    </row>
    <row r="581" spans="1:55" ht="12.9" customHeight="1">
      <c r="A581" s="22"/>
      <c r="B581" t="s">
        <v>316</v>
      </c>
      <c r="G581" s="1346" t="str">
        <f>'[1]Data Port'!$G$514</f>
        <v>720.904.4091</v>
      </c>
      <c r="H581" s="1346"/>
      <c r="I581" s="1346"/>
      <c r="J581" s="1346"/>
      <c r="K581" s="1346"/>
      <c r="L581" s="1346"/>
      <c r="O581" s="33" t="s">
        <v>206</v>
      </c>
      <c r="P581" s="1438"/>
      <c r="Q581" s="1438"/>
      <c r="R581" s="1438"/>
      <c r="T581" s="22"/>
      <c r="U581" t="s">
        <v>316</v>
      </c>
      <c r="Z581" s="1346" t="str">
        <f>'[1]Data Port'!$G$522</f>
        <v>720.904.4091</v>
      </c>
      <c r="AA581" s="1346"/>
      <c r="AB581" s="1346"/>
      <c r="AC581" s="1346"/>
      <c r="AD581" s="1346"/>
      <c r="AE581" s="1346"/>
      <c r="AH581" s="33" t="s">
        <v>206</v>
      </c>
      <c r="AI581" s="1438"/>
      <c r="AJ581" s="1438"/>
      <c r="AK581" s="1438"/>
      <c r="BB581" s="3"/>
      <c r="BC581" s="3"/>
    </row>
    <row r="582" spans="1:55" ht="12.9" customHeight="1">
      <c r="A582" s="22"/>
      <c r="B582" t="s">
        <v>18</v>
      </c>
      <c r="H582" s="1372" t="str">
        <f>'[1]Data Port'!$G$515</f>
        <v>Taxable Loan</v>
      </c>
      <c r="I582" s="1372"/>
      <c r="J582" s="1372"/>
      <c r="K582" s="1372"/>
      <c r="L582" s="1372"/>
      <c r="M582" s="1372"/>
      <c r="N582" s="1372"/>
      <c r="O582" s="1372"/>
      <c r="P582" s="1372"/>
      <c r="Q582" s="1372"/>
      <c r="R582" s="1372"/>
      <c r="T582" s="22"/>
      <c r="U582" t="s">
        <v>18</v>
      </c>
      <c r="AA582" s="1372" t="str">
        <f>'[1]Data Port'!$G$523</f>
        <v>LIHTC equity</v>
      </c>
      <c r="AB582" s="1372"/>
      <c r="AC582" s="1372"/>
      <c r="AD582" s="1372"/>
      <c r="AE582" s="1372"/>
      <c r="AF582" s="1372"/>
      <c r="AG582" s="1372"/>
      <c r="AH582" s="1372"/>
      <c r="AI582" s="1372"/>
      <c r="AJ582" s="1372"/>
      <c r="AK582" s="1372"/>
      <c r="BB582" s="3"/>
      <c r="BC582" s="3"/>
    </row>
    <row r="583" spans="1:55" ht="12.9" customHeight="1">
      <c r="A583" s="22"/>
      <c r="B583" t="s">
        <v>20</v>
      </c>
      <c r="N583" s="1332" t="str">
        <f>'[1]Data Port'!$G$516</f>
        <v>Yes</v>
      </c>
      <c r="O583" s="1332"/>
      <c r="T583" s="22"/>
      <c r="U583" t="s">
        <v>20</v>
      </c>
      <c r="AG583" s="1332" t="str">
        <f>'[1]Data Port'!$G$524</f>
        <v>Yes</v>
      </c>
      <c r="AH583" s="1332"/>
      <c r="BB583" s="3"/>
      <c r="BC583" s="3"/>
    </row>
    <row r="584" spans="1:55" ht="12.9" customHeight="1">
      <c r="A584" s="22"/>
      <c r="T584" s="22"/>
      <c r="BB584" s="3"/>
      <c r="BC584" s="3"/>
    </row>
    <row r="585" spans="1:55" ht="12.9" customHeight="1">
      <c r="A585" s="55" t="s">
        <v>762</v>
      </c>
      <c r="B585" t="s">
        <v>462</v>
      </c>
      <c r="G585" s="1359" t="str">
        <f>C558</f>
        <v>Deferred Fees until Conversion (Developer fee reserves, etc)</v>
      </c>
      <c r="H585" s="1359"/>
      <c r="I585" s="1359"/>
      <c r="J585" s="1359"/>
      <c r="K585" s="1359"/>
      <c r="L585" s="1359"/>
      <c r="M585" s="1359"/>
      <c r="N585" s="1359"/>
      <c r="O585" s="1359"/>
      <c r="P585" s="1359"/>
      <c r="Q585" s="1359"/>
      <c r="R585" s="1359"/>
      <c r="T585" s="55" t="s">
        <v>583</v>
      </c>
      <c r="U585" t="s">
        <v>462</v>
      </c>
      <c r="Z585" s="1359" t="str">
        <f>C559</f>
        <v>Deferred Developer Fee</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tr">
        <f>'[1]Data Port'!$G$527</f>
        <v>411 2nd Street</v>
      </c>
      <c r="H586" s="1372"/>
      <c r="I586" s="1372"/>
      <c r="J586" s="1372"/>
      <c r="K586" s="1372"/>
      <c r="L586" s="1372"/>
      <c r="M586" s="1372"/>
      <c r="N586" s="1372"/>
      <c r="O586" s="1372"/>
      <c r="P586" s="1372"/>
      <c r="Q586" s="1372"/>
      <c r="R586" s="1372"/>
      <c r="T586" s="22"/>
      <c r="U586" t="s">
        <v>85</v>
      </c>
      <c r="Z586" s="1372" t="str">
        <f>'[1]Data Port'!$G$535</f>
        <v>411 2nd Street</v>
      </c>
      <c r="AA586" s="1372"/>
      <c r="AB586" s="1372"/>
      <c r="AC586" s="1372"/>
      <c r="AD586" s="1372"/>
      <c r="AE586" s="1372"/>
      <c r="AF586" s="1372"/>
      <c r="AG586" s="1372"/>
      <c r="AH586" s="1372"/>
      <c r="AI586" s="1372"/>
      <c r="AJ586" s="1372"/>
      <c r="AK586" s="1372"/>
      <c r="BB586" s="3"/>
      <c r="BC586" s="3"/>
    </row>
    <row r="587" spans="1:55" ht="12.9" customHeight="1">
      <c r="A587" s="22"/>
      <c r="B587" t="s">
        <v>579</v>
      </c>
      <c r="G587" s="1372" t="str">
        <f>'[1]Data Port'!$G$528</f>
        <v>Oakland</v>
      </c>
      <c r="H587" s="1372"/>
      <c r="I587" s="1372"/>
      <c r="J587" s="1372"/>
      <c r="K587" s="1372"/>
      <c r="L587" s="1372"/>
      <c r="M587" s="1372"/>
      <c r="N587" s="1372"/>
      <c r="O587" s="1372"/>
      <c r="P587" s="1372"/>
      <c r="Q587" s="1372"/>
      <c r="R587" s="1372"/>
      <c r="T587" s="22"/>
      <c r="U587" t="s">
        <v>579</v>
      </c>
      <c r="Z587" s="1349" t="str">
        <f>'[1]Data Port'!$G$536</f>
        <v>Oakland</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tr">
        <f>'[1]Data Port'!$G$529</f>
        <v>Jeremy Harris</v>
      </c>
      <c r="H588" s="1372"/>
      <c r="I588" s="1372"/>
      <c r="J588" s="1372"/>
      <c r="K588" s="1372"/>
      <c r="L588" s="1372"/>
      <c r="M588" s="1372"/>
      <c r="N588" s="1372"/>
      <c r="O588" s="1372"/>
      <c r="P588" s="1372"/>
      <c r="Q588" s="1372"/>
      <c r="R588" s="1372"/>
      <c r="T588" s="22"/>
      <c r="U588" t="s">
        <v>17</v>
      </c>
      <c r="Z588" s="1349" t="str">
        <f>'[1]Data Port'!$G$537</f>
        <v>Jeremy Harris</v>
      </c>
      <c r="AA588" s="1349"/>
      <c r="AB588" s="1349"/>
      <c r="AC588" s="1349"/>
      <c r="AD588" s="1349"/>
      <c r="AE588" s="1349"/>
      <c r="AF588" s="1349"/>
      <c r="AG588" s="1349"/>
      <c r="AH588" s="1349"/>
      <c r="AI588" s="1349"/>
      <c r="AJ588" s="1349"/>
      <c r="AK588" s="1349"/>
    </row>
    <row r="589" spans="1:55" ht="12.9" customHeight="1">
      <c r="A589" s="22"/>
      <c r="B589" t="s">
        <v>316</v>
      </c>
      <c r="G589" s="1346">
        <f>'[1]Data Port'!$G$530</f>
        <v>8584495270</v>
      </c>
      <c r="H589" s="1346"/>
      <c r="I589" s="1346"/>
      <c r="J589" s="1346"/>
      <c r="K589" s="1346"/>
      <c r="L589" s="1346"/>
      <c r="O589" s="33" t="s">
        <v>206</v>
      </c>
      <c r="P589" s="1438"/>
      <c r="Q589" s="1438"/>
      <c r="R589" s="1438"/>
      <c r="T589" s="22"/>
      <c r="U589" t="s">
        <v>316</v>
      </c>
      <c r="Z589" s="1346">
        <f>'[1]Data Port'!$G$538</f>
        <v>8584495270</v>
      </c>
      <c r="AA589" s="1346"/>
      <c r="AB589" s="1346"/>
      <c r="AC589" s="1346"/>
      <c r="AD589" s="1346"/>
      <c r="AE589" s="1346"/>
      <c r="AH589" s="33" t="s">
        <v>206</v>
      </c>
      <c r="AI589" s="1438"/>
      <c r="AJ589" s="1438"/>
      <c r="AK589" s="1438"/>
      <c r="AZ589" s="3"/>
      <c r="BA589" s="3"/>
      <c r="BB589" s="3"/>
      <c r="BC589" s="3"/>
    </row>
    <row r="590" spans="1:55" ht="12.9" customHeight="1">
      <c r="A590" s="22"/>
      <c r="B590" t="s">
        <v>18</v>
      </c>
      <c r="H590" s="1372" t="str">
        <f>'[1]Data Port'!$G$531</f>
        <v>Cost Deferral</v>
      </c>
      <c r="I590" s="1372"/>
      <c r="J590" s="1372"/>
      <c r="K590" s="1372"/>
      <c r="L590" s="1372"/>
      <c r="M590" s="1372"/>
      <c r="N590" s="1372"/>
      <c r="O590" s="1372"/>
      <c r="P590" s="1372"/>
      <c r="Q590" s="1372"/>
      <c r="R590" s="1372"/>
      <c r="T590" s="22"/>
      <c r="U590" t="s">
        <v>18</v>
      </c>
      <c r="AA590" s="1372" t="str">
        <f>'[1]Data Port'!$G$539</f>
        <v>Deferred Development Fee</v>
      </c>
      <c r="AB590" s="1372"/>
      <c r="AC590" s="1372"/>
      <c r="AD590" s="1372"/>
      <c r="AE590" s="1372"/>
      <c r="AF590" s="1372"/>
      <c r="AG590" s="1372"/>
      <c r="AH590" s="1372"/>
      <c r="AI590" s="1372"/>
      <c r="AJ590" s="1372"/>
      <c r="AK590" s="1372"/>
      <c r="AZ590" s="3"/>
      <c r="BA590" s="3"/>
      <c r="BB590" s="3"/>
      <c r="BC590" s="3"/>
    </row>
    <row r="591" spans="1:55" ht="12.9" customHeight="1">
      <c r="A591" s="22"/>
      <c r="B591" t="s">
        <v>20</v>
      </c>
      <c r="N591" s="1332" t="str">
        <f>'[1]Data Port'!$G$532</f>
        <v>Yes</v>
      </c>
      <c r="O591" s="1332"/>
      <c r="T591" s="22"/>
      <c r="U591" t="s">
        <v>20</v>
      </c>
      <c r="AG591" s="1332" t="str">
        <f>'[1]Data Port'!$G$540</f>
        <v>Yes</v>
      </c>
      <c r="AH591" s="1332"/>
      <c r="AZ591" s="3"/>
      <c r="BA591" s="3"/>
      <c r="BB591" s="3"/>
      <c r="BC591" s="3"/>
    </row>
    <row r="592" spans="1:55" ht="12.9" customHeight="1">
      <c r="A592" s="22"/>
      <c r="T592" s="22"/>
      <c r="AZ592" s="3"/>
      <c r="BA592" s="3"/>
      <c r="BB592" s="3"/>
      <c r="BC592" s="3"/>
    </row>
    <row r="593" spans="1:55" ht="12.9" customHeight="1">
      <c r="A593" s="55" t="s">
        <v>454</v>
      </c>
      <c r="B593" t="s">
        <v>462</v>
      </c>
      <c r="G593" s="1359" t="str">
        <f>C560</f>
        <v>GP Loan Note</v>
      </c>
      <c r="H593" s="1359"/>
      <c r="I593" s="1359"/>
      <c r="J593" s="1359"/>
      <c r="K593" s="1359"/>
      <c r="L593" s="1359"/>
      <c r="M593" s="1359"/>
      <c r="N593" s="1359"/>
      <c r="O593" s="1359"/>
      <c r="P593" s="1359"/>
      <c r="Q593" s="1359"/>
      <c r="R593" s="1359"/>
      <c r="T593" s="55" t="s">
        <v>455</v>
      </c>
      <c r="U593" t="s">
        <v>462</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2" t="str">
        <f>IF(G593=0,0,'[1]Data Port'!$G$543)</f>
        <v>411 2nd Street</v>
      </c>
      <c r="H594" s="1372"/>
      <c r="I594" s="1372"/>
      <c r="J594" s="1372"/>
      <c r="K594" s="1372"/>
      <c r="L594" s="1372"/>
      <c r="M594" s="1372"/>
      <c r="N594" s="1372"/>
      <c r="O594" s="1372"/>
      <c r="P594" s="1372"/>
      <c r="Q594" s="1372"/>
      <c r="R594" s="1372"/>
      <c r="S594"/>
      <c r="T594" s="22"/>
      <c r="U594" t="s">
        <v>85</v>
      </c>
      <c r="V594"/>
      <c r="W594"/>
      <c r="X594"/>
      <c r="Y594"/>
      <c r="Z594" s="1372">
        <f>IF(Z593=0,0,'[1]Data Port'!$G$551)</f>
        <v>0</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372" t="str">
        <f>IF(G593=0,0,'[1]Data Port'!$G$544)</f>
        <v>Oakland</v>
      </c>
      <c r="H595" s="1372"/>
      <c r="I595" s="1372"/>
      <c r="J595" s="1372"/>
      <c r="K595" s="1372"/>
      <c r="L595" s="1372"/>
      <c r="M595" s="1372"/>
      <c r="N595" s="1372"/>
      <c r="O595" s="1372"/>
      <c r="P595" s="1372"/>
      <c r="Q595" s="1372"/>
      <c r="R595" s="1372"/>
      <c r="S595"/>
      <c r="T595" s="22"/>
      <c r="U595" t="s">
        <v>579</v>
      </c>
      <c r="V595"/>
      <c r="W595"/>
      <c r="X595"/>
      <c r="Y595"/>
      <c r="Z595" s="1349">
        <f>IF(Z593=0,0,'[1]Data Port'!$G$552)</f>
        <v>0</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2" t="str">
        <f>IF(G593=0,0,'[1]Data Port'!$G$545)</f>
        <v>Jeremy Harris</v>
      </c>
      <c r="H596" s="1372"/>
      <c r="I596" s="1372"/>
      <c r="J596" s="1372"/>
      <c r="K596" s="1372"/>
      <c r="L596" s="1372"/>
      <c r="M596" s="1372"/>
      <c r="N596" s="1372"/>
      <c r="O596" s="1372"/>
      <c r="P596" s="1372"/>
      <c r="Q596" s="1372"/>
      <c r="R596" s="1372"/>
      <c r="S596"/>
      <c r="T596" s="22"/>
      <c r="U596" t="s">
        <v>17</v>
      </c>
      <c r="V596"/>
      <c r="W596"/>
      <c r="X596"/>
      <c r="Y596"/>
      <c r="Z596" s="1349">
        <f>IF(Z593=0,0,'[1]Data Port'!$G$553)</f>
        <v>0</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6">
        <f>IF(G593=0,0,'[1]Data Port'!$G$546)</f>
        <v>8584495270</v>
      </c>
      <c r="H597" s="1346"/>
      <c r="I597" s="1346"/>
      <c r="J597" s="1346"/>
      <c r="K597" s="1346"/>
      <c r="L597" s="1346"/>
      <c r="M597"/>
      <c r="N597"/>
      <c r="O597" s="33" t="s">
        <v>206</v>
      </c>
      <c r="P597" s="1438"/>
      <c r="Q597" s="1438"/>
      <c r="R597" s="1438"/>
      <c r="S597"/>
      <c r="T597" s="22"/>
      <c r="U597" t="s">
        <v>316</v>
      </c>
      <c r="V597"/>
      <c r="W597"/>
      <c r="X597"/>
      <c r="Y597"/>
      <c r="Z597" s="1346">
        <f>IF(Z593=0,0,'[1]Data Port'!$G$554)</f>
        <v>0</v>
      </c>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2" t="str">
        <f>IF(G593=0,0,'[1]Data Port'!$G$547)</f>
        <v>Deferred Development Fee</v>
      </c>
      <c r="I598" s="1372"/>
      <c r="J598" s="1372"/>
      <c r="K598" s="1372"/>
      <c r="L598" s="1372"/>
      <c r="M598" s="1372"/>
      <c r="N598" s="1372"/>
      <c r="O598" s="1372"/>
      <c r="P598" s="1372"/>
      <c r="Q598" s="1372"/>
      <c r="R598" s="1372"/>
      <c r="S598"/>
      <c r="T598" s="22"/>
      <c r="U598" t="s">
        <v>18</v>
      </c>
      <c r="V598"/>
      <c r="W598"/>
      <c r="X598"/>
      <c r="Y598"/>
      <c r="Z598"/>
      <c r="AA598" s="1372">
        <f>IF(Z593=0,0,'[1]Data Port'!$G$555)</f>
        <v>0</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 customHeight="1">
      <c r="A599" s="22"/>
      <c r="B599" t="s">
        <v>20</v>
      </c>
      <c r="N599" s="1332" t="str">
        <f>IF(G593=0,"No",'[1]Data Port'!$G$548)</f>
        <v>Yes</v>
      </c>
      <c r="O599" s="1332"/>
      <c r="T599" s="22"/>
      <c r="U599" t="s">
        <v>20</v>
      </c>
      <c r="AG599" s="1332" t="str">
        <f>IF(Z593=0,"No",'[1]Data Port'!$G$556)</f>
        <v>No</v>
      </c>
      <c r="AH599" s="1332"/>
      <c r="BB599" s="3"/>
      <c r="BC599" s="3"/>
    </row>
    <row r="600" spans="1:55" ht="12.9" customHeight="1">
      <c r="A600" s="22"/>
      <c r="T600" s="22"/>
      <c r="BB600" s="3"/>
      <c r="BC600" s="3"/>
    </row>
    <row r="601" spans="1:55" ht="12.9" customHeight="1">
      <c r="A601" s="55" t="s">
        <v>460</v>
      </c>
      <c r="B601" t="s">
        <v>462</v>
      </c>
      <c r="G601" s="1359">
        <f>C562</f>
        <v>0</v>
      </c>
      <c r="H601" s="1359"/>
      <c r="I601" s="1359"/>
      <c r="J601" s="1359"/>
      <c r="K601" s="1359"/>
      <c r="L601" s="1359"/>
      <c r="M601" s="1359"/>
      <c r="N601" s="1359"/>
      <c r="O601" s="1359"/>
      <c r="P601" s="1359"/>
      <c r="Q601" s="1359"/>
      <c r="R601" s="1359"/>
      <c r="T601" s="55" t="s">
        <v>645</v>
      </c>
      <c r="U601" t="s">
        <v>462</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 customHeight="1">
      <c r="A603" s="22"/>
      <c r="B603" t="s">
        <v>579</v>
      </c>
      <c r="G603" s="1372"/>
      <c r="H603" s="1372"/>
      <c r="I603" s="1372"/>
      <c r="J603" s="1372"/>
      <c r="K603" s="1372"/>
      <c r="L603" s="1372"/>
      <c r="M603" s="1372"/>
      <c r="N603" s="1372"/>
      <c r="O603" s="1372"/>
      <c r="P603" s="1372"/>
      <c r="Q603" s="1372"/>
      <c r="R603" s="1372"/>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462</v>
      </c>
      <c r="G609" s="1359">
        <f>C564</f>
        <v>0</v>
      </c>
      <c r="H609" s="1359"/>
      <c r="I609" s="1359"/>
      <c r="J609" s="1359"/>
      <c r="K609" s="1359"/>
      <c r="L609" s="1359"/>
      <c r="M609" s="1359"/>
      <c r="N609" s="1359"/>
      <c r="O609" s="1359"/>
      <c r="P609" s="1359"/>
      <c r="Q609" s="1359"/>
      <c r="R609" s="1359"/>
      <c r="T609" s="55" t="s">
        <v>363</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 customHeight="1">
      <c r="B611" t="s">
        <v>579</v>
      </c>
      <c r="G611" s="1372"/>
      <c r="H611" s="1372"/>
      <c r="I611" s="1372"/>
      <c r="J611" s="1372"/>
      <c r="K611" s="1372"/>
      <c r="L611" s="1372"/>
      <c r="M611" s="1372"/>
      <c r="N611" s="1372"/>
      <c r="O611" s="1372"/>
      <c r="P611" s="1372"/>
      <c r="Q611" s="1372"/>
      <c r="R611" s="1372"/>
      <c r="U611" t="s">
        <v>579</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 customHeight="1">
      <c r="B615" t="s">
        <v>20</v>
      </c>
      <c r="N615" s="1332" t="s">
        <v>668</v>
      </c>
      <c r="O615" s="1332"/>
      <c r="U615" t="s">
        <v>20</v>
      </c>
      <c r="AG615" s="1332" t="s">
        <v>668</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2098</v>
      </c>
      <c r="AZ622" s="3"/>
      <c r="BA622" s="3"/>
      <c r="BB622" s="3"/>
      <c r="BC622" s="3"/>
    </row>
    <row r="623" spans="1:55" ht="12.9" customHeight="1">
      <c r="B623" s="512"/>
      <c r="C623" s="2"/>
      <c r="AU623" s="3"/>
      <c r="AZ623" s="3"/>
      <c r="BA623" s="3"/>
      <c r="BB623" s="3"/>
      <c r="BC623" s="3"/>
    </row>
    <row r="624" spans="1:55" ht="12.9" customHeight="1">
      <c r="B624" s="1701" t="s">
        <v>2099</v>
      </c>
      <c r="C624" s="1701"/>
      <c r="D624" s="1701"/>
      <c r="E624" s="1701"/>
      <c r="F624" s="1701"/>
      <c r="G624" s="1701"/>
      <c r="H624" s="1701"/>
      <c r="I624" s="1701"/>
      <c r="J624" s="1701"/>
      <c r="K624" s="1701"/>
      <c r="L624" s="1701"/>
      <c r="M624" s="1443" t="s">
        <v>2100</v>
      </c>
      <c r="N624" s="1443"/>
      <c r="O624" s="1443"/>
      <c r="P624" s="1443"/>
      <c r="Q624" s="1443" t="s">
        <v>1850</v>
      </c>
      <c r="R624" s="1443"/>
      <c r="S624" s="1443"/>
      <c r="T624" s="1443" t="s">
        <v>1848</v>
      </c>
      <c r="U624" s="1443"/>
      <c r="V624" s="1443"/>
      <c r="W624" s="1702" t="s">
        <v>452</v>
      </c>
      <c r="X624" s="1702"/>
      <c r="Y624" s="1702"/>
      <c r="Z624" s="1432" t="s">
        <v>2129</v>
      </c>
      <c r="AA624" s="1432"/>
      <c r="AB624" s="1433"/>
      <c r="AC624" s="1683" t="s">
        <v>1674</v>
      </c>
      <c r="AD624" s="1684"/>
      <c r="AE624" s="1685"/>
      <c r="AF624" s="1673"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 customHeight="1">
      <c r="B627" s="51" t="s">
        <v>112</v>
      </c>
      <c r="C627" s="1693" t="str">
        <f>'[1]Data Port'!$G$591</f>
        <v>Keybank (Permanent Loan)</v>
      </c>
      <c r="D627" s="1693"/>
      <c r="E627" s="1693"/>
      <c r="F627" s="1693"/>
      <c r="G627" s="1693"/>
      <c r="H627" s="1693"/>
      <c r="I627" s="1693"/>
      <c r="J627" s="1693"/>
      <c r="K627" s="1693"/>
      <c r="L627" s="1693"/>
      <c r="M627" s="1619" t="s">
        <v>1182</v>
      </c>
      <c r="N627" s="1619"/>
      <c r="O627" s="1619"/>
      <c r="P627" s="1619"/>
      <c r="Q627" s="1427">
        <f>'[1]Data Port'!$G$593</f>
        <v>180</v>
      </c>
      <c r="R627" s="1427"/>
      <c r="S627" s="1428"/>
      <c r="T627" s="1426">
        <f>'[1]Data Port'!$G$594</f>
        <v>480</v>
      </c>
      <c r="U627" s="1427"/>
      <c r="V627" s="1428"/>
      <c r="W627" s="1439">
        <f>'[1]Data Port'!$G$595</f>
        <v>0.06</v>
      </c>
      <c r="X627" s="1440"/>
      <c r="Y627" s="1441"/>
      <c r="Z627" s="1479" t="str">
        <f>'[1]Data Port'!$G$596</f>
        <v>Required</v>
      </c>
      <c r="AA627" s="1480"/>
      <c r="AB627" s="1481"/>
      <c r="AC627" s="1447">
        <v>1</v>
      </c>
      <c r="AD627" s="1448"/>
      <c r="AE627" s="1449"/>
      <c r="AF627" s="1476">
        <f>'[1]Data Port'!$G$598</f>
        <v>2251445</v>
      </c>
      <c r="AG627" s="1477"/>
      <c r="AH627" s="1477"/>
      <c r="AI627" s="1477"/>
      <c r="AJ627" s="1478"/>
      <c r="AK627" s="1429">
        <f>'[1]Data Port'!$D$599</f>
        <v>0</v>
      </c>
      <c r="AL627" s="1430"/>
      <c r="AM627" s="1430"/>
      <c r="AN627" s="1431"/>
      <c r="AO627" s="1482">
        <f>ROUND('[1]Data Port'!$G$600,)</f>
        <v>34099546</v>
      </c>
      <c r="AP627" s="1482"/>
      <c r="AQ627" s="1482"/>
      <c r="AR627" s="1482"/>
      <c r="AS627" s="1482"/>
      <c r="AT627" s="3"/>
      <c r="AU627" s="3"/>
      <c r="AZ627" s="3"/>
      <c r="BA627" s="3"/>
      <c r="BB627" s="3"/>
      <c r="BC627" s="3"/>
      <c r="BD627" s="3"/>
    </row>
    <row r="628" spans="2:157" ht="12.9" customHeight="1">
      <c r="B628" s="52" t="s">
        <v>113</v>
      </c>
      <c r="C628" s="1693" t="str">
        <f>'[1]Data Port'!$G$603</f>
        <v>NOI residual from lease-up</v>
      </c>
      <c r="D628" s="1693"/>
      <c r="E628" s="1693"/>
      <c r="F628" s="1693"/>
      <c r="G628" s="1693"/>
      <c r="H628" s="1693"/>
      <c r="I628" s="1693"/>
      <c r="J628" s="1693"/>
      <c r="K628" s="1693"/>
      <c r="L628" s="1693"/>
      <c r="M628" s="1619" t="s">
        <v>1182</v>
      </c>
      <c r="N628" s="1619"/>
      <c r="O628" s="1619"/>
      <c r="P628" s="1619"/>
      <c r="Q628" s="1426">
        <f>'[1]Data Port'!$G$605</f>
        <v>0</v>
      </c>
      <c r="R628" s="1427"/>
      <c r="S628" s="1428"/>
      <c r="T628" s="1426">
        <f>'[1]Data Port'!$G$606</f>
        <v>0</v>
      </c>
      <c r="U628" s="1427"/>
      <c r="V628" s="1428"/>
      <c r="W628" s="1439">
        <f>'[1]Data Port'!$G$607</f>
        <v>0</v>
      </c>
      <c r="X628" s="1440"/>
      <c r="Y628" s="1441"/>
      <c r="Z628" s="1479" t="str">
        <f>'[1]Data Port'!$G$608</f>
        <v>Residual</v>
      </c>
      <c r="AA628" s="1480"/>
      <c r="AB628" s="1481"/>
      <c r="AC628" s="1447"/>
      <c r="AD628" s="1448"/>
      <c r="AE628" s="1449"/>
      <c r="AF628" s="1476"/>
      <c r="AG628" s="1477"/>
      <c r="AH628" s="1477"/>
      <c r="AI628" s="1477"/>
      <c r="AJ628" s="1478"/>
      <c r="AK628" s="1429"/>
      <c r="AL628" s="1430"/>
      <c r="AM628" s="1430"/>
      <c r="AN628" s="1431"/>
      <c r="AO628" s="1467">
        <f>ROUND('[1]Data Port'!$G$612+'[1]Data Port'!$D$1334,)</f>
        <v>499396</v>
      </c>
      <c r="AP628" s="1468"/>
      <c r="AQ628" s="1468"/>
      <c r="AR628" s="1468"/>
      <c r="AS628" s="1469"/>
      <c r="AT628" s="1148" t="str">
        <f>IF(AND(NOT(C627=""),C628="",NOT(C629="")),"!","")</f>
        <v/>
      </c>
      <c r="AU628" s="3"/>
      <c r="AZ628" s="3"/>
      <c r="BA628" s="3"/>
      <c r="BB628" s="3"/>
      <c r="BC628" s="3"/>
      <c r="BD628" s="3"/>
    </row>
    <row r="629" spans="2:157" ht="12.9" customHeight="1">
      <c r="B629" s="52" t="s">
        <v>119</v>
      </c>
      <c r="C629" s="1693" t="str">
        <f>'[1]Data Port'!$G$615</f>
        <v>Deferred Developer Fee</v>
      </c>
      <c r="D629" s="1693"/>
      <c r="E629" s="1693"/>
      <c r="F629" s="1693"/>
      <c r="G629" s="1693"/>
      <c r="H629" s="1693"/>
      <c r="I629" s="1693"/>
      <c r="J629" s="1693"/>
      <c r="K629" s="1693"/>
      <c r="L629" s="1693"/>
      <c r="M629" s="1619" t="s">
        <v>1182</v>
      </c>
      <c r="N629" s="1619"/>
      <c r="O629" s="1619"/>
      <c r="P629" s="1619"/>
      <c r="Q629" s="1426">
        <f>'[1]Data Port'!$G$617</f>
        <v>0</v>
      </c>
      <c r="R629" s="1427"/>
      <c r="S629" s="1428"/>
      <c r="T629" s="1426">
        <f>'[1]Data Port'!$G$618</f>
        <v>0</v>
      </c>
      <c r="U629" s="1427"/>
      <c r="V629" s="1428"/>
      <c r="W629" s="1439">
        <f>'[1]Data Port'!$G$619</f>
        <v>0</v>
      </c>
      <c r="X629" s="1440"/>
      <c r="Y629" s="1441"/>
      <c r="Z629" s="1479" t="str">
        <f>'[1]Data Port'!$G$620</f>
        <v>Residual</v>
      </c>
      <c r="AA629" s="1480"/>
      <c r="AB629" s="1481"/>
      <c r="AC629" s="1447"/>
      <c r="AD629" s="1448"/>
      <c r="AE629" s="1449"/>
      <c r="AF629" s="1476"/>
      <c r="AG629" s="1477"/>
      <c r="AH629" s="1477"/>
      <c r="AI629" s="1477"/>
      <c r="AJ629" s="1478"/>
      <c r="AK629" s="1429"/>
      <c r="AL629" s="1430"/>
      <c r="AM629" s="1430"/>
      <c r="AN629" s="1431"/>
      <c r="AO629" s="1467">
        <f>ROUND('[1]Data Port'!$G$624,)</f>
        <v>5705573</v>
      </c>
      <c r="AP629" s="1468"/>
      <c r="AQ629" s="1468"/>
      <c r="AR629" s="1468"/>
      <c r="AS629" s="1469"/>
      <c r="AT629" s="1148" t="str">
        <f t="shared" ref="AT629:AT638" si="1">IF(AND(NOT(C628=""),C629="",NOT(C630="")),"!","")</f>
        <v/>
      </c>
      <c r="AU629" s="3"/>
      <c r="AZ629" s="3"/>
      <c r="BA629" s="3"/>
      <c r="BB629" s="3"/>
      <c r="BC629" s="3"/>
      <c r="BD629" s="3"/>
    </row>
    <row r="630" spans="2:157" ht="12.9" customHeight="1">
      <c r="B630" s="52" t="s">
        <v>580</v>
      </c>
      <c r="C630" s="1347" t="str">
        <f>IF(AO630=0,0,'[1]Data Port'!$G$627)</f>
        <v>GP Lone Note</v>
      </c>
      <c r="D630" s="1347"/>
      <c r="E630" s="1347"/>
      <c r="F630" s="1347"/>
      <c r="G630" s="1347"/>
      <c r="H630" s="1347"/>
      <c r="I630" s="1347"/>
      <c r="J630" s="1347"/>
      <c r="K630" s="1347"/>
      <c r="L630" s="1347"/>
      <c r="M630" s="1619" t="str">
        <f>IF(AO630=0,"(select)",'[1]Data Port'!$G$628)</f>
        <v>Loan, General Partner</v>
      </c>
      <c r="N630" s="1619"/>
      <c r="O630" s="1619"/>
      <c r="P630" s="1619"/>
      <c r="Q630" s="1426">
        <f>IF(AO630=0,0,'[1]Data Port'!$G$629)</f>
        <v>180</v>
      </c>
      <c r="R630" s="1427"/>
      <c r="S630" s="1428"/>
      <c r="T630" s="1426">
        <f>'[1]Data Port'!$G$630</f>
        <v>0</v>
      </c>
      <c r="U630" s="1427"/>
      <c r="V630" s="1428"/>
      <c r="W630" s="1439">
        <f>IF(AO630=0,0,'[1]Data Port'!$G$631)</f>
        <v>6.3899999999999998E-2</v>
      </c>
      <c r="X630" s="1440"/>
      <c r="Y630" s="1441"/>
      <c r="Z630" s="1479" t="str">
        <f>IF(AO630=0,"(select)",'[1]Data Port'!$G$632)</f>
        <v>Residual</v>
      </c>
      <c r="AA630" s="1480"/>
      <c r="AB630" s="1481"/>
      <c r="AC630" s="1447"/>
      <c r="AD630" s="1448"/>
      <c r="AE630" s="1449"/>
      <c r="AF630" s="1476"/>
      <c r="AG630" s="1477"/>
      <c r="AH630" s="1477"/>
      <c r="AI630" s="1477"/>
      <c r="AJ630" s="1478"/>
      <c r="AK630" s="1429"/>
      <c r="AL630" s="1430"/>
      <c r="AM630" s="1430"/>
      <c r="AN630" s="1431"/>
      <c r="AO630" s="1467">
        <f>ROUND('[1]Data Port'!$G$636,)</f>
        <v>2520000</v>
      </c>
      <c r="AP630" s="1468"/>
      <c r="AQ630" s="1468"/>
      <c r="AR630" s="1468"/>
      <c r="AS630" s="1469"/>
      <c r="AT630" s="1148" t="str">
        <f t="shared" si="1"/>
        <v/>
      </c>
      <c r="AU630" s="3"/>
      <c r="AZ630" s="3"/>
      <c r="BA630" s="3"/>
      <c r="BB630" s="3"/>
      <c r="BC630" s="3"/>
      <c r="BD630" s="3"/>
    </row>
    <row r="631" spans="2:157" ht="12.9" customHeight="1">
      <c r="B631" s="52" t="s">
        <v>762</v>
      </c>
      <c r="C631" s="1347">
        <f>IF(AO631=0,0,'[1]Data Port'!$G$639)</f>
        <v>0</v>
      </c>
      <c r="D631" s="1347"/>
      <c r="E631" s="1347"/>
      <c r="F631" s="1347"/>
      <c r="G631" s="1347"/>
      <c r="H631" s="1347"/>
      <c r="I631" s="1347"/>
      <c r="J631" s="1347"/>
      <c r="K631" s="1347"/>
      <c r="L631" s="1347"/>
      <c r="M631" s="1619" t="str">
        <f>IF(AO631=0,"(select)",'[1]Data Port'!$G$640)</f>
        <v>(select)</v>
      </c>
      <c r="N631" s="1619"/>
      <c r="O631" s="1619"/>
      <c r="P631" s="1619"/>
      <c r="Q631" s="1426">
        <f>IF(AO631=0,0,'[1]Data Port'!$G$641)</f>
        <v>0</v>
      </c>
      <c r="R631" s="1427"/>
      <c r="S631" s="1428"/>
      <c r="T631" s="1426">
        <f>'[1]Data Port'!$G$642</f>
        <v>0</v>
      </c>
      <c r="U631" s="1427"/>
      <c r="V631" s="1428"/>
      <c r="W631" s="1439">
        <f>IF(AO631=0,0,'[1]Data Port'!$G$643)</f>
        <v>0</v>
      </c>
      <c r="X631" s="1440"/>
      <c r="Y631" s="1441"/>
      <c r="Z631" s="1479" t="str">
        <f>IF(AO631=0,"(select)",'[1]Data Port'!$G$644)</f>
        <v>(select)</v>
      </c>
      <c r="AA631" s="1480"/>
      <c r="AB631" s="1481"/>
      <c r="AC631" s="1447"/>
      <c r="AD631" s="1448"/>
      <c r="AE631" s="1449"/>
      <c r="AF631" s="1476"/>
      <c r="AG631" s="1477"/>
      <c r="AH631" s="1477"/>
      <c r="AI631" s="1477"/>
      <c r="AJ631" s="1478"/>
      <c r="AK631" s="1429"/>
      <c r="AL631" s="1430"/>
      <c r="AM631" s="1430"/>
      <c r="AN631" s="1431"/>
      <c r="AO631" s="1467">
        <f>ROUND('[1]Data Port'!$G$648,)</f>
        <v>0</v>
      </c>
      <c r="AP631" s="1468"/>
      <c r="AQ631" s="1468"/>
      <c r="AR631" s="1468"/>
      <c r="AS631" s="1469"/>
      <c r="AT631" s="1148" t="str">
        <f t="shared" si="1"/>
        <v/>
      </c>
      <c r="AU631" s="3"/>
      <c r="AZ631" s="3"/>
      <c r="BA631" s="3"/>
      <c r="BB631" s="3"/>
      <c r="BC631" s="3"/>
      <c r="BD631" s="3"/>
    </row>
    <row r="632" spans="2:157" ht="12.9" customHeight="1">
      <c r="B632" s="52" t="s">
        <v>583</v>
      </c>
      <c r="C632" s="1347">
        <f>'[1]Data Port'!$G$651</f>
        <v>0</v>
      </c>
      <c r="D632" s="1347"/>
      <c r="E632" s="1347"/>
      <c r="F632" s="1347"/>
      <c r="G632" s="1347"/>
      <c r="H632" s="1347"/>
      <c r="I632" s="1347"/>
      <c r="J632" s="1347"/>
      <c r="K632" s="1347"/>
      <c r="L632" s="1347"/>
      <c r="M632" s="1619" t="s">
        <v>1182</v>
      </c>
      <c r="N632" s="1619"/>
      <c r="O632" s="1619"/>
      <c r="P632" s="1619"/>
      <c r="Q632" s="1426">
        <f>'[1]Data Port'!$G$653</f>
        <v>0</v>
      </c>
      <c r="R632" s="1427"/>
      <c r="S632" s="1428"/>
      <c r="T632" s="1426">
        <f>'[1]Data Port'!$G$654</f>
        <v>0</v>
      </c>
      <c r="U632" s="1427"/>
      <c r="V632" s="1428"/>
      <c r="W632" s="1439">
        <f>'[1]Data Port'!$G$655</f>
        <v>0</v>
      </c>
      <c r="X632" s="1440"/>
      <c r="Y632" s="1441"/>
      <c r="Z632" s="1479" t="s">
        <v>1182</v>
      </c>
      <c r="AA632" s="1480"/>
      <c r="AB632" s="1481"/>
      <c r="AC632" s="1447"/>
      <c r="AD632" s="1448"/>
      <c r="AE632" s="1449"/>
      <c r="AF632" s="1476"/>
      <c r="AG632" s="1477"/>
      <c r="AH632" s="1477"/>
      <c r="AI632" s="1477"/>
      <c r="AJ632" s="1478"/>
      <c r="AK632" s="1429"/>
      <c r="AL632" s="1430"/>
      <c r="AM632" s="1430"/>
      <c r="AN632" s="1431"/>
      <c r="AO632" s="1467">
        <f>'[1]Data Port'!$G$660</f>
        <v>0</v>
      </c>
      <c r="AP632" s="1468"/>
      <c r="AQ632" s="1468"/>
      <c r="AR632" s="1468"/>
      <c r="AS632" s="1469"/>
      <c r="AT632" s="1148" t="str">
        <f t="shared" si="1"/>
        <v/>
      </c>
      <c r="AU632" s="3"/>
      <c r="AZ632" s="3"/>
      <c r="BA632" s="3"/>
      <c r="BB632" s="3"/>
      <c r="BC632" s="3"/>
      <c r="BD632" s="3"/>
    </row>
    <row r="633" spans="2:157" ht="12.9" customHeight="1">
      <c r="B633" s="52" t="s">
        <v>454</v>
      </c>
      <c r="C633" s="1347">
        <f>'[1]Data Port'!$G$663</f>
        <v>0</v>
      </c>
      <c r="D633" s="1347"/>
      <c r="E633" s="1347"/>
      <c r="F633" s="1347"/>
      <c r="G633" s="1347"/>
      <c r="H633" s="1347"/>
      <c r="I633" s="1347"/>
      <c r="J633" s="1347"/>
      <c r="K633" s="1347"/>
      <c r="L633" s="1347"/>
      <c r="M633" s="1619" t="s">
        <v>1182</v>
      </c>
      <c r="N633" s="1619"/>
      <c r="O633" s="1619"/>
      <c r="P633" s="1619"/>
      <c r="Q633" s="1426">
        <f>'[1]Data Port'!$G$665</f>
        <v>0</v>
      </c>
      <c r="R633" s="1427"/>
      <c r="S633" s="1428"/>
      <c r="T633" s="1426">
        <f>'[1]Data Port'!$G$666</f>
        <v>0</v>
      </c>
      <c r="U633" s="1427"/>
      <c r="V633" s="1428"/>
      <c r="W633" s="1439">
        <f>'[1]Data Port'!$G$667</f>
        <v>0</v>
      </c>
      <c r="X633" s="1440"/>
      <c r="Y633" s="1441"/>
      <c r="Z633" s="1479" t="s">
        <v>1182</v>
      </c>
      <c r="AA633" s="1480"/>
      <c r="AB633" s="1481"/>
      <c r="AC633" s="1447"/>
      <c r="AD633" s="1448"/>
      <c r="AE633" s="1449"/>
      <c r="AF633" s="1476"/>
      <c r="AG633" s="1477"/>
      <c r="AH633" s="1477"/>
      <c r="AI633" s="1477"/>
      <c r="AJ633" s="1478"/>
      <c r="AK633" s="1429"/>
      <c r="AL633" s="1430"/>
      <c r="AM633" s="1430"/>
      <c r="AN633" s="1431"/>
      <c r="AO633" s="1467">
        <f>'[1]Data Port'!$G$672</f>
        <v>0</v>
      </c>
      <c r="AP633" s="1468"/>
      <c r="AQ633" s="1468"/>
      <c r="AR633" s="1468"/>
      <c r="AS633" s="1469"/>
      <c r="AT633" s="1148" t="str">
        <f t="shared" si="1"/>
        <v/>
      </c>
      <c r="AU633" s="3"/>
      <c r="AV633" s="3"/>
      <c r="AW633" s="3"/>
      <c r="AX633" s="3"/>
      <c r="AY633" s="3"/>
      <c r="AZ633" s="3"/>
      <c r="BA633" s="3"/>
      <c r="BB633" s="3"/>
      <c r="BC633" s="3"/>
      <c r="BD633" s="3"/>
    </row>
    <row r="634" spans="2:157" ht="12.9" customHeight="1">
      <c r="B634" s="52" t="s">
        <v>455</v>
      </c>
      <c r="C634" s="1347">
        <f>'[1]Data Port'!$G$675</f>
        <v>0</v>
      </c>
      <c r="D634" s="1347"/>
      <c r="E634" s="1347"/>
      <c r="F634" s="1347"/>
      <c r="G634" s="1347"/>
      <c r="H634" s="1347"/>
      <c r="I634" s="1347"/>
      <c r="J634" s="1347"/>
      <c r="K634" s="1347"/>
      <c r="L634" s="1347"/>
      <c r="M634" s="1619" t="s">
        <v>1182</v>
      </c>
      <c r="N634" s="1619"/>
      <c r="O634" s="1619"/>
      <c r="P634" s="1619"/>
      <c r="Q634" s="1426">
        <f>'[1]Data Port'!$G$677</f>
        <v>0</v>
      </c>
      <c r="R634" s="1427"/>
      <c r="S634" s="1428"/>
      <c r="T634" s="1426">
        <f>'[1]Data Port'!$G$678</f>
        <v>0</v>
      </c>
      <c r="U634" s="1427"/>
      <c r="V634" s="1428"/>
      <c r="W634" s="1439">
        <f>'[1]Data Port'!$G$679</f>
        <v>0</v>
      </c>
      <c r="X634" s="1440"/>
      <c r="Y634" s="1441"/>
      <c r="Z634" s="1479" t="s">
        <v>1182</v>
      </c>
      <c r="AA634" s="1480"/>
      <c r="AB634" s="1481"/>
      <c r="AC634" s="1447"/>
      <c r="AD634" s="1448"/>
      <c r="AE634" s="1449"/>
      <c r="AF634" s="1476"/>
      <c r="AG634" s="1477"/>
      <c r="AH634" s="1477"/>
      <c r="AI634" s="1477"/>
      <c r="AJ634" s="1478"/>
      <c r="AK634" s="1429"/>
      <c r="AL634" s="1430"/>
      <c r="AM634" s="1430"/>
      <c r="AN634" s="1431"/>
      <c r="AO634" s="1467">
        <f>'[1]Data Port'!$G$684</f>
        <v>0</v>
      </c>
      <c r="AP634" s="1468"/>
      <c r="AQ634" s="1468"/>
      <c r="AR634" s="1468"/>
      <c r="AS634" s="1469"/>
      <c r="AT634" s="1148" t="str">
        <f t="shared" si="1"/>
        <v/>
      </c>
      <c r="AU634" s="3"/>
      <c r="AV634" s="3"/>
      <c r="AW634" s="3"/>
      <c r="AX634" s="3"/>
      <c r="AY634" s="3"/>
      <c r="AZ634" s="3"/>
      <c r="BA634" s="3" t="s">
        <v>1182</v>
      </c>
      <c r="BB634" s="3"/>
      <c r="BC634" s="3"/>
      <c r="BD634" s="3"/>
    </row>
    <row r="635" spans="2:157" ht="12.9" customHeight="1">
      <c r="B635" s="52" t="s">
        <v>460</v>
      </c>
      <c r="C635" s="1347">
        <f>'[1]Data Port'!$G$687</f>
        <v>0</v>
      </c>
      <c r="D635" s="1347"/>
      <c r="E635" s="1347"/>
      <c r="F635" s="1347"/>
      <c r="G635" s="1347"/>
      <c r="H635" s="1347"/>
      <c r="I635" s="1347"/>
      <c r="J635" s="1347"/>
      <c r="K635" s="1347"/>
      <c r="L635" s="1347"/>
      <c r="M635" s="1619" t="s">
        <v>1182</v>
      </c>
      <c r="N635" s="1619"/>
      <c r="O635" s="1619"/>
      <c r="P635" s="1619"/>
      <c r="Q635" s="1426">
        <f>'[1]Data Port'!$G$689</f>
        <v>0</v>
      </c>
      <c r="R635" s="1427"/>
      <c r="S635" s="1428"/>
      <c r="T635" s="1426">
        <f>'[1]Data Port'!$G$690</f>
        <v>0</v>
      </c>
      <c r="U635" s="1427"/>
      <c r="V635" s="1428"/>
      <c r="W635" s="1439">
        <f>'[1]Data Port'!$G$691</f>
        <v>0</v>
      </c>
      <c r="X635" s="1440"/>
      <c r="Y635" s="1441"/>
      <c r="Z635" s="1479" t="s">
        <v>1182</v>
      </c>
      <c r="AA635" s="1480"/>
      <c r="AB635" s="1481"/>
      <c r="AC635" s="1447"/>
      <c r="AD635" s="1448"/>
      <c r="AE635" s="1449"/>
      <c r="AF635" s="1476"/>
      <c r="AG635" s="1477"/>
      <c r="AH635" s="1477"/>
      <c r="AI635" s="1477"/>
      <c r="AJ635" s="1478"/>
      <c r="AK635" s="1429"/>
      <c r="AL635" s="1430"/>
      <c r="AM635" s="1430"/>
      <c r="AN635" s="1431"/>
      <c r="AO635" s="1467">
        <f>'[1]Data Port'!$G$696</f>
        <v>0</v>
      </c>
      <c r="AP635" s="1468"/>
      <c r="AQ635" s="1468"/>
      <c r="AR635" s="1468"/>
      <c r="AS635" s="14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197.81443298969072</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 customHeight="1">
      <c r="B636" s="52" t="s">
        <v>645</v>
      </c>
      <c r="C636" s="1347">
        <f>'[1]Data Port'!$G$699</f>
        <v>0</v>
      </c>
      <c r="D636" s="1347"/>
      <c r="E636" s="1347"/>
      <c r="F636" s="1347"/>
      <c r="G636" s="1347"/>
      <c r="H636" s="1347"/>
      <c r="I636" s="1347"/>
      <c r="J636" s="1347"/>
      <c r="K636" s="1347"/>
      <c r="L636" s="1347"/>
      <c r="M636" s="1619" t="s">
        <v>1182</v>
      </c>
      <c r="N636" s="1619"/>
      <c r="O636" s="1619"/>
      <c r="P636" s="1619"/>
      <c r="Q636" s="1426">
        <f>'[1]Data Port'!$G$701</f>
        <v>0</v>
      </c>
      <c r="R636" s="1427"/>
      <c r="S636" s="1428"/>
      <c r="T636" s="1426">
        <f>'[1]Data Port'!$G$702</f>
        <v>0</v>
      </c>
      <c r="U636" s="1427"/>
      <c r="V636" s="1428"/>
      <c r="W636" s="1439">
        <f>'[1]Data Port'!$G$703</f>
        <v>0</v>
      </c>
      <c r="X636" s="1440"/>
      <c r="Y636" s="1441"/>
      <c r="Z636" s="1479" t="s">
        <v>1182</v>
      </c>
      <c r="AA636" s="1480"/>
      <c r="AB636" s="1481"/>
      <c r="AC636" s="1447"/>
      <c r="AD636" s="1448"/>
      <c r="AE636" s="1449"/>
      <c r="AF636" s="1476"/>
      <c r="AG636" s="1477"/>
      <c r="AH636" s="1477"/>
      <c r="AI636" s="1477"/>
      <c r="AJ636" s="1478"/>
      <c r="AK636" s="1429"/>
      <c r="AL636" s="1430"/>
      <c r="AM636" s="1430"/>
      <c r="AN636" s="1431"/>
      <c r="AO636" s="1467">
        <f>'[1]Data Port'!$G$708</f>
        <v>0</v>
      </c>
      <c r="AP636" s="1468"/>
      <c r="AQ636" s="1468"/>
      <c r="AR636" s="1468"/>
      <c r="AS636" s="14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 customHeight="1">
      <c r="B637" s="52" t="s">
        <v>362</v>
      </c>
      <c r="C637" s="1347">
        <f>'[1]Data Port'!$G$711</f>
        <v>0</v>
      </c>
      <c r="D637" s="1347"/>
      <c r="E637" s="1347"/>
      <c r="F637" s="1347"/>
      <c r="G637" s="1347"/>
      <c r="H637" s="1347"/>
      <c r="I637" s="1347"/>
      <c r="J637" s="1347"/>
      <c r="K637" s="1347"/>
      <c r="L637" s="1347"/>
      <c r="M637" s="1619" t="s">
        <v>1182</v>
      </c>
      <c r="N637" s="1619"/>
      <c r="O637" s="1619"/>
      <c r="P637" s="1619"/>
      <c r="Q637" s="1426">
        <f>'[1]Data Port'!$G$713</f>
        <v>0</v>
      </c>
      <c r="R637" s="1427"/>
      <c r="S637" s="1428"/>
      <c r="T637" s="1426">
        <f>'[1]Data Port'!$G$714</f>
        <v>0</v>
      </c>
      <c r="U637" s="1427"/>
      <c r="V637" s="1428"/>
      <c r="W637" s="1439">
        <f>'[1]Data Port'!$G$715</f>
        <v>0</v>
      </c>
      <c r="X637" s="1440"/>
      <c r="Y637" s="1441"/>
      <c r="Z637" s="1479" t="s">
        <v>1182</v>
      </c>
      <c r="AA637" s="1480"/>
      <c r="AB637" s="1481"/>
      <c r="AC637" s="1447"/>
      <c r="AD637" s="1448"/>
      <c r="AE637" s="1449"/>
      <c r="AF637" s="1476"/>
      <c r="AG637" s="1477"/>
      <c r="AH637" s="1477"/>
      <c r="AI637" s="1477"/>
      <c r="AJ637" s="1478"/>
      <c r="AK637" s="1429"/>
      <c r="AL637" s="1430"/>
      <c r="AM637" s="1430"/>
      <c r="AN637" s="1431"/>
      <c r="AO637" s="1467">
        <f>'[1]Data Port'!$G$720</f>
        <v>0</v>
      </c>
      <c r="AP637" s="1468"/>
      <c r="AQ637" s="1468"/>
      <c r="AR637" s="1468"/>
      <c r="AS637" s="146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446">
        <f t="shared" si="2"/>
        <v>347.64948453608247</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 customHeight="1">
      <c r="B638" s="52" t="s">
        <v>363</v>
      </c>
      <c r="C638" s="1347">
        <f>'[1]Data Port'!$G$723</f>
        <v>0</v>
      </c>
      <c r="D638" s="1347"/>
      <c r="E638" s="1347"/>
      <c r="F638" s="1347"/>
      <c r="G638" s="1347"/>
      <c r="H638" s="1347"/>
      <c r="I638" s="1347"/>
      <c r="J638" s="1347"/>
      <c r="K638" s="1347"/>
      <c r="L638" s="1347"/>
      <c r="M638" s="1619" t="s">
        <v>1182</v>
      </c>
      <c r="N638" s="1619"/>
      <c r="O638" s="1619"/>
      <c r="P638" s="1619"/>
      <c r="Q638" s="1426">
        <f>'[1]Data Port'!$G$725</f>
        <v>0</v>
      </c>
      <c r="R638" s="1427"/>
      <c r="S638" s="1428"/>
      <c r="T638" s="1426">
        <f>'[1]Data Port'!$G$726</f>
        <v>0</v>
      </c>
      <c r="U638" s="1427"/>
      <c r="V638" s="1428"/>
      <c r="W638" s="1439">
        <f>'[1]Data Port'!$G$727</f>
        <v>0</v>
      </c>
      <c r="X638" s="1440"/>
      <c r="Y638" s="1441"/>
      <c r="Z638" s="1479" t="s">
        <v>1182</v>
      </c>
      <c r="AA638" s="1480"/>
      <c r="AB638" s="1481"/>
      <c r="AC638" s="1447"/>
      <c r="AD638" s="1448"/>
      <c r="AE638" s="1449"/>
      <c r="AF638" s="1476"/>
      <c r="AG638" s="1477"/>
      <c r="AH638" s="1477"/>
      <c r="AI638" s="1477"/>
      <c r="AJ638" s="1478"/>
      <c r="AK638" s="1429"/>
      <c r="AL638" s="1430"/>
      <c r="AM638" s="1430"/>
      <c r="AN638" s="1431"/>
      <c r="AO638" s="1467">
        <f>'[1]Data Port'!$G$732</f>
        <v>0</v>
      </c>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f t="shared" si="2"/>
        <v>629.53608247422687</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42824515</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AM566-AO627-AO628-AO629-AO630-AO631-AO632-AO633-AO634-AO635-AO636-AO637-AO638</f>
        <v>25611046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68435561</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 customHeight="1">
      <c r="A643" s="55" t="s">
        <v>112</v>
      </c>
      <c r="B643" t="s">
        <v>462</v>
      </c>
      <c r="G643" s="1359" t="str">
        <f>C627</f>
        <v>Keybank (Permanent Loan)</v>
      </c>
      <c r="H643" s="1359"/>
      <c r="I643" s="1359"/>
      <c r="J643" s="1359"/>
      <c r="K643" s="1359"/>
      <c r="L643" s="1359"/>
      <c r="M643" s="1359"/>
      <c r="N643" s="1359"/>
      <c r="O643" s="1359"/>
      <c r="P643" s="1359"/>
      <c r="Q643" s="1359"/>
      <c r="R643" s="1359"/>
      <c r="S643" s="8"/>
      <c r="T643" s="55" t="s">
        <v>113</v>
      </c>
      <c r="U643" t="s">
        <v>462</v>
      </c>
      <c r="Z643" s="1359" t="str">
        <f>C628</f>
        <v>NOI residual from lease-up</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 customHeight="1">
      <c r="A644" s="22"/>
      <c r="B644" t="s">
        <v>85</v>
      </c>
      <c r="G644" s="1372" t="str">
        <f>'[1]Data Port'!$G$737</f>
        <v>1675 Broadway</v>
      </c>
      <c r="H644" s="1372"/>
      <c r="I644" s="1372"/>
      <c r="J644" s="1372"/>
      <c r="K644" s="1372"/>
      <c r="L644" s="1372"/>
      <c r="M644" s="1372"/>
      <c r="N644" s="1372"/>
      <c r="O644" s="1372"/>
      <c r="P644" s="1372"/>
      <c r="Q644" s="1372"/>
      <c r="R644" s="1372"/>
      <c r="S644" s="8"/>
      <c r="T644" s="22"/>
      <c r="U644" t="s">
        <v>85</v>
      </c>
      <c r="Z644" s="1372" t="str">
        <f>'[1]Data Port'!$G$746</f>
        <v>411 2nd Street</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f t="shared" si="3"/>
        <v>1412</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 customHeight="1">
      <c r="A645" s="22"/>
      <c r="B645" t="s">
        <v>579</v>
      </c>
      <c r="G645" s="1372" t="str">
        <f>'[1]Data Port'!$G$738</f>
        <v>Denver, CO 80202</v>
      </c>
      <c r="H645" s="1372"/>
      <c r="I645" s="1372"/>
      <c r="J645" s="1372"/>
      <c r="K645" s="1372"/>
      <c r="L645" s="1372"/>
      <c r="M645" s="1372"/>
      <c r="N645" s="1372"/>
      <c r="O645" s="1372"/>
      <c r="P645" s="1372"/>
      <c r="Q645" s="1372"/>
      <c r="R645" s="1372"/>
      <c r="T645" s="22"/>
      <c r="U645" t="s">
        <v>579</v>
      </c>
      <c r="Z645" s="1349" t="str">
        <f>'[1]Data Port'!$G$747</f>
        <v>Oakland</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 customHeight="1">
      <c r="A646" s="22"/>
      <c r="B646" t="s">
        <v>17</v>
      </c>
      <c r="G646" s="1372" t="str">
        <f>'[1]Data Port'!$G$739</f>
        <v>Eileen Tran</v>
      </c>
      <c r="H646" s="1372"/>
      <c r="I646" s="1372"/>
      <c r="J646" s="1372"/>
      <c r="K646" s="1372"/>
      <c r="L646" s="1372"/>
      <c r="M646" s="1372"/>
      <c r="N646" s="1372"/>
      <c r="O646" s="1372"/>
      <c r="P646" s="1372"/>
      <c r="Q646" s="1372"/>
      <c r="R646" s="1372"/>
      <c r="S646" s="8"/>
      <c r="T646" s="22"/>
      <c r="U646" t="s">
        <v>17</v>
      </c>
      <c r="Z646" s="1349" t="str">
        <f>'[1]Data Port'!$G$748</f>
        <v>Jeremy Harris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 customHeight="1">
      <c r="A647" s="22"/>
      <c r="B647" t="s">
        <v>316</v>
      </c>
      <c r="G647" s="1346" t="str">
        <f>'[1]Data Port'!$G$740</f>
        <v>720.904.4091</v>
      </c>
      <c r="H647" s="1346"/>
      <c r="I647" s="1346"/>
      <c r="J647" s="1346"/>
      <c r="K647" s="1346"/>
      <c r="L647" s="1346"/>
      <c r="O647" s="33" t="s">
        <v>206</v>
      </c>
      <c r="P647" s="1438"/>
      <c r="Q647" s="1438"/>
      <c r="R647" s="1438"/>
      <c r="S647" s="10"/>
      <c r="T647" s="22"/>
      <c r="U647" t="s">
        <v>316</v>
      </c>
      <c r="Z647" s="1346">
        <f>'[1]Data Port'!$G$749</f>
        <v>8584495270</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 customHeight="1">
      <c r="A648" s="22"/>
      <c r="B648" t="s">
        <v>18</v>
      </c>
      <c r="H648" s="1372" t="str">
        <f>'[1]Data Port'!$G$741</f>
        <v>Tax exempt bonds</v>
      </c>
      <c r="I648" s="1372"/>
      <c r="J648" s="1372"/>
      <c r="K648" s="1372"/>
      <c r="L648" s="1372"/>
      <c r="M648" s="1372"/>
      <c r="N648" s="1372"/>
      <c r="O648" s="1372"/>
      <c r="P648" s="1372"/>
      <c r="Q648" s="1372"/>
      <c r="R648" s="1372"/>
      <c r="S648" s="8"/>
      <c r="T648" s="22"/>
      <c r="U648" t="s">
        <v>18</v>
      </c>
      <c r="AA648" s="1372" t="str">
        <f>'[1]Data Port'!$G$750</f>
        <v>Net Operating Income</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 customHeight="1">
      <c r="A649" s="22"/>
      <c r="B649" t="s">
        <v>20</v>
      </c>
      <c r="N649" s="1332" t="s">
        <v>544</v>
      </c>
      <c r="O649" s="1332"/>
      <c r="T649" s="22"/>
      <c r="U649" t="s">
        <v>20</v>
      </c>
      <c r="AG649" s="1332" t="str">
        <f>'[1]Data Port'!$G$752</f>
        <v>Yes</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 customHeight="1">
      <c r="A651" s="55" t="s">
        <v>119</v>
      </c>
      <c r="B651" t="s">
        <v>462</v>
      </c>
      <c r="G651" s="1359" t="str">
        <f>C629</f>
        <v>Deferred Developer Fee</v>
      </c>
      <c r="H651" s="1359"/>
      <c r="I651" s="1359"/>
      <c r="J651" s="1359"/>
      <c r="K651" s="1359"/>
      <c r="L651" s="1359"/>
      <c r="M651" s="1359"/>
      <c r="N651" s="1359"/>
      <c r="O651" s="1359"/>
      <c r="P651" s="1359"/>
      <c r="Q651" s="1359"/>
      <c r="R651" s="1359"/>
      <c r="T651" s="55" t="s">
        <v>580</v>
      </c>
      <c r="U651" t="s">
        <v>462</v>
      </c>
      <c r="Z651" s="1359" t="str">
        <f>C630</f>
        <v>GP Lone Note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f t="shared" si="4"/>
        <v>2348</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 customHeight="1">
      <c r="A652" s="22"/>
      <c r="B652" t="s">
        <v>85</v>
      </c>
      <c r="G652" s="1372" t="str">
        <f>'[1]Data Port'!$G$755</f>
        <v>411 2nd Street</v>
      </c>
      <c r="H652" s="1372"/>
      <c r="I652" s="1372"/>
      <c r="J652" s="1372"/>
      <c r="K652" s="1372"/>
      <c r="L652" s="1372"/>
      <c r="M652" s="1372"/>
      <c r="N652" s="1372"/>
      <c r="O652" s="1372"/>
      <c r="P652" s="1372"/>
      <c r="Q652" s="1372"/>
      <c r="R652" s="1372"/>
      <c r="T652" s="22"/>
      <c r="U652" t="s">
        <v>85</v>
      </c>
      <c r="Z652" s="1372" t="str">
        <f>IF(Z651=0,0,'[1]Data Port'!$G$763)</f>
        <v>411 2nd Street</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 customHeight="1">
      <c r="A653" s="22"/>
      <c r="B653" t="s">
        <v>579</v>
      </c>
      <c r="G653" s="1349" t="str">
        <f>'[1]Data Port'!$G$756</f>
        <v>Oakland</v>
      </c>
      <c r="H653" s="1349"/>
      <c r="I653" s="1349"/>
      <c r="J653" s="1349"/>
      <c r="K653" s="1349"/>
      <c r="L653" s="1349"/>
      <c r="M653" s="1349"/>
      <c r="N653" s="1349"/>
      <c r="O653" s="1349"/>
      <c r="P653" s="1349"/>
      <c r="Q653" s="1349"/>
      <c r="R653" s="1349"/>
      <c r="T653" s="22"/>
      <c r="U653" t="s">
        <v>579</v>
      </c>
      <c r="Z653" s="1349" t="str">
        <f>IF(Z651=0,0,'[1]Data Port'!$G$764)</f>
        <v>Oakland</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 customHeight="1">
      <c r="A654" s="22"/>
      <c r="B654" t="s">
        <v>17</v>
      </c>
      <c r="G654" s="1349" t="str">
        <f>'[1]Data Port'!$G$757</f>
        <v>Jeremy Harris</v>
      </c>
      <c r="H654" s="1349"/>
      <c r="I654" s="1349"/>
      <c r="J654" s="1349"/>
      <c r="K654" s="1349"/>
      <c r="L654" s="1349"/>
      <c r="M654" s="1349"/>
      <c r="N654" s="1349"/>
      <c r="O654" s="1349"/>
      <c r="P654" s="1349"/>
      <c r="Q654" s="1349"/>
      <c r="R654" s="1349"/>
      <c r="T654" s="22"/>
      <c r="U654" t="s">
        <v>17</v>
      </c>
      <c r="Z654" s="1349" t="str">
        <f>IF(Z651=0,0,'[1]Data Port'!$G$765)</f>
        <v>Jeremy Harris</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 customHeight="1">
      <c r="A655" s="22"/>
      <c r="B655" t="s">
        <v>316</v>
      </c>
      <c r="G655" s="1346">
        <f>'[1]Data Port'!$G$758</f>
        <v>8584495270</v>
      </c>
      <c r="H655" s="1346"/>
      <c r="I655" s="1346"/>
      <c r="J655" s="1346"/>
      <c r="K655" s="1346"/>
      <c r="L655" s="1346"/>
      <c r="O655" s="33" t="s">
        <v>206</v>
      </c>
      <c r="P655" s="1438"/>
      <c r="Q655" s="1438"/>
      <c r="R655" s="1438"/>
      <c r="T655" s="22"/>
      <c r="U655" t="s">
        <v>316</v>
      </c>
      <c r="Z655" s="1346">
        <f>IF(Z651=0,0,'[1]Data Port'!$G$766)</f>
        <v>8584495270</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 customHeight="1">
      <c r="A656" s="22"/>
      <c r="B656" t="s">
        <v>18</v>
      </c>
      <c r="H656" s="1372" t="str">
        <f>'[1]Data Port'!$G$759</f>
        <v>Deferred Development Fee</v>
      </c>
      <c r="I656" s="1372"/>
      <c r="J656" s="1372"/>
      <c r="K656" s="1372"/>
      <c r="L656" s="1372"/>
      <c r="M656" s="1372"/>
      <c r="N656" s="1372"/>
      <c r="O656" s="1372"/>
      <c r="P656" s="1372"/>
      <c r="Q656" s="1372"/>
      <c r="R656" s="1372"/>
      <c r="T656" s="22"/>
      <c r="U656" t="s">
        <v>18</v>
      </c>
      <c r="AA656" s="1372" t="str">
        <f>IF(Z651=0,0,'[1]Data Port'!$G$767)</f>
        <v>GP Loan  Note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 customHeight="1">
      <c r="A657" s="22"/>
      <c r="B657" t="s">
        <v>20</v>
      </c>
      <c r="N657" s="1332" t="str">
        <f>'[1]Data Port'!$G$760</f>
        <v>Yes</v>
      </c>
      <c r="O657" s="1332"/>
      <c r="T657" s="22"/>
      <c r="U657" t="s">
        <v>20</v>
      </c>
      <c r="AG657" s="1332" t="str">
        <f>IF(Z651=0,"No",'[1]Data Port'!$G$768)</f>
        <v>Yes</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 customHeight="1">
      <c r="A659" s="55" t="s">
        <v>762</v>
      </c>
      <c r="B659" t="s">
        <v>462</v>
      </c>
      <c r="G659" s="1359">
        <f>C631</f>
        <v>0</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 customHeight="1">
      <c r="A660" s="22"/>
      <c r="B660" t="s">
        <v>85</v>
      </c>
      <c r="G660" s="1372">
        <f>IF(G659=0,0,'[1]Data Port'!$D$771)</f>
        <v>0</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 customHeight="1">
      <c r="A661" s="22"/>
      <c r="B661" t="s">
        <v>579</v>
      </c>
      <c r="G661" s="1372">
        <f>IF(G659=0,0,'[1]Data Port'!$D$772)</f>
        <v>0</v>
      </c>
      <c r="H661" s="1372"/>
      <c r="I661" s="1372"/>
      <c r="J661" s="1372"/>
      <c r="K661" s="1372"/>
      <c r="L661" s="1372"/>
      <c r="M661" s="1372"/>
      <c r="N661" s="1372"/>
      <c r="O661" s="1372"/>
      <c r="P661" s="1372"/>
      <c r="Q661" s="1372"/>
      <c r="R661" s="1372"/>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 customHeight="1">
      <c r="A662" s="22"/>
      <c r="B662" t="s">
        <v>17</v>
      </c>
      <c r="G662" s="1372">
        <f>IF(G659=0,0,'[1]Data Port'!$D$773)</f>
        <v>0</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 customHeight="1">
      <c r="A663" s="22"/>
      <c r="B663" t="s">
        <v>316</v>
      </c>
      <c r="G663" s="1346">
        <f>IF(G659=0,0,'[1]Data Port'!$D$774)</f>
        <v>0</v>
      </c>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 customHeight="1">
      <c r="A664" s="22"/>
      <c r="B664" t="s">
        <v>18</v>
      </c>
      <c r="H664" s="1372">
        <f>IF(G659=0,0,'[1]Data Port'!$D$775)</f>
        <v>0</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 customHeight="1">
      <c r="A665" s="22"/>
      <c r="B665" t="s">
        <v>20</v>
      </c>
      <c r="N665" s="1332" t="str">
        <f>IF(G659=0,"No",'[1]Data Port'!$D$776)</f>
        <v>No</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 customHeight="1">
      <c r="A669" s="22"/>
      <c r="B669" t="s">
        <v>579</v>
      </c>
      <c r="G669" s="1372"/>
      <c r="H669" s="1372"/>
      <c r="I669" s="1372"/>
      <c r="J669" s="1372"/>
      <c r="K669" s="1372"/>
      <c r="L669" s="1372"/>
      <c r="M669" s="1372"/>
      <c r="N669" s="1372"/>
      <c r="O669" s="1372"/>
      <c r="P669" s="1372"/>
      <c r="Q669" s="1372"/>
      <c r="R669" s="1372"/>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1175</v>
      </c>
      <c r="DY670" s="1446"/>
      <c r="DZ670" s="1446"/>
      <c r="EA670" s="1446"/>
      <c r="EB670" s="1446"/>
      <c r="EC670" s="1446">
        <f>SUMIF(EC635:EG669,"&gt;0")</f>
        <v>1412</v>
      </c>
      <c r="ED670" s="1446"/>
      <c r="EE670" s="1446"/>
      <c r="EF670" s="1446"/>
      <c r="EG670" s="1446"/>
      <c r="EH670" s="1446">
        <f>SUMIF(EH635:EL669,"&gt;0")</f>
        <v>2348</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668</v>
      </c>
      <c r="O673" s="1332"/>
      <c r="T673" s="22"/>
      <c r="U673" t="s">
        <v>20</v>
      </c>
      <c r="AG673" s="1332" t="s">
        <v>668</v>
      </c>
      <c r="AH673" s="1332"/>
      <c r="AZ673" s="3"/>
    </row>
    <row r="674" spans="1:52" ht="12.9" customHeight="1">
      <c r="A674" s="22"/>
      <c r="T674" s="22"/>
      <c r="AZ674" s="3"/>
    </row>
    <row r="675" spans="1:52" ht="12.9" customHeight="1">
      <c r="A675" s="55" t="s">
        <v>460</v>
      </c>
      <c r="B675" t="s">
        <v>462</v>
      </c>
      <c r="G675" s="1359">
        <f>C635</f>
        <v>0</v>
      </c>
      <c r="H675" s="1359"/>
      <c r="I675" s="1359"/>
      <c r="J675" s="1359"/>
      <c r="K675" s="1359"/>
      <c r="L675" s="1359"/>
      <c r="M675" s="1359"/>
      <c r="N675" s="1359"/>
      <c r="O675" s="1359"/>
      <c r="P675" s="1359"/>
      <c r="Q675" s="1359"/>
      <c r="R675" s="1359"/>
      <c r="T675" s="55" t="s">
        <v>645</v>
      </c>
      <c r="U675" t="s">
        <v>462</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 customHeight="1">
      <c r="A677" s="22"/>
      <c r="B677" t="s">
        <v>579</v>
      </c>
      <c r="G677" s="1372"/>
      <c r="H677" s="1372"/>
      <c r="I677" s="1372"/>
      <c r="J677" s="1372"/>
      <c r="K677" s="1372"/>
      <c r="L677" s="1372"/>
      <c r="M677" s="1372"/>
      <c r="N677" s="1372"/>
      <c r="O677" s="1372"/>
      <c r="P677" s="1372"/>
      <c r="Q677" s="1372"/>
      <c r="R677" s="1372"/>
      <c r="T677" s="22"/>
      <c r="U677" t="s">
        <v>579</v>
      </c>
      <c r="Z677" s="1349"/>
      <c r="AA677" s="1349"/>
      <c r="AB677" s="1349"/>
      <c r="AC677" s="1349"/>
      <c r="AD677" s="1349"/>
      <c r="AE677" s="1349"/>
      <c r="AF677" s="1349"/>
      <c r="AG677" s="1349"/>
      <c r="AH677" s="1349"/>
      <c r="AI677" s="1349"/>
      <c r="AJ677" s="1349"/>
      <c r="AK677" s="1349"/>
      <c r="AZ677" s="3"/>
    </row>
    <row r="678" spans="1:52" ht="12.9"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 customHeight="1">
      <c r="A681" s="22"/>
      <c r="B681" t="s">
        <v>20</v>
      </c>
      <c r="N681" s="1332" t="s">
        <v>668</v>
      </c>
      <c r="O681" s="1332"/>
      <c r="T681" s="22"/>
      <c r="U681" t="s">
        <v>20</v>
      </c>
      <c r="AG681" s="1332" t="s">
        <v>668</v>
      </c>
      <c r="AH681" s="1332"/>
      <c r="AZ681" s="3"/>
    </row>
    <row r="682" spans="1:52" ht="12.9" customHeight="1">
      <c r="A682" s="22"/>
      <c r="T682" s="22"/>
      <c r="AZ682" s="3"/>
    </row>
    <row r="683" spans="1:52" ht="12.9" customHeight="1">
      <c r="A683" s="55" t="s">
        <v>362</v>
      </c>
      <c r="B683" t="s">
        <v>462</v>
      </c>
      <c r="G683" s="1359">
        <f>C637</f>
        <v>0</v>
      </c>
      <c r="H683" s="1359"/>
      <c r="I683" s="1359"/>
      <c r="J683" s="1359"/>
      <c r="K683" s="1359"/>
      <c r="L683" s="1359"/>
      <c r="M683" s="1359"/>
      <c r="N683" s="1359"/>
      <c r="O683" s="1359"/>
      <c r="P683" s="1359"/>
      <c r="Q683" s="1359"/>
      <c r="R683" s="1359"/>
      <c r="T683" s="55" t="s">
        <v>363</v>
      </c>
      <c r="U683" t="s">
        <v>462</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 customHeight="1">
      <c r="B685" t="s">
        <v>579</v>
      </c>
      <c r="G685" s="1372"/>
      <c r="H685" s="1372"/>
      <c r="I685" s="1372"/>
      <c r="J685" s="1372"/>
      <c r="K685" s="1372"/>
      <c r="L685" s="1372"/>
      <c r="M685" s="1372"/>
      <c r="N685" s="1372"/>
      <c r="O685" s="1372"/>
      <c r="P685" s="1372"/>
      <c r="Q685" s="1372"/>
      <c r="R685" s="1372"/>
      <c r="U685" t="s">
        <v>579</v>
      </c>
      <c r="Z685" s="1349"/>
      <c r="AA685" s="1349"/>
      <c r="AB685" s="1349"/>
      <c r="AC685" s="1349"/>
      <c r="AD685" s="1349"/>
      <c r="AE685" s="1349"/>
      <c r="AF685" s="1349"/>
      <c r="AG685" s="1349"/>
      <c r="AH685" s="1349"/>
      <c r="AI685" s="1349"/>
      <c r="AJ685" s="1349"/>
      <c r="AK685" s="1349"/>
      <c r="AZ685" s="3"/>
    </row>
    <row r="686" spans="1:52" ht="12.9"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 customHeight="1">
      <c r="B689" t="s">
        <v>20</v>
      </c>
      <c r="N689" s="1332" t="s">
        <v>668</v>
      </c>
      <c r="O689" s="1332"/>
      <c r="U689" t="s">
        <v>20</v>
      </c>
      <c r="AG689" s="1332" t="s">
        <v>668</v>
      </c>
      <c r="AH689" s="1332"/>
      <c r="AZ689" s="3"/>
    </row>
    <row r="690" spans="1:67" ht="12.9" customHeight="1">
      <c r="AZ690" s="3"/>
    </row>
    <row r="691" spans="1:67" ht="12.9" customHeight="1">
      <c r="A691" s="2" t="s">
        <v>575</v>
      </c>
      <c r="C691" s="2" t="s">
        <v>327</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2" t="str">
        <f>'[1]Data Port'!$G$834</f>
        <v>No</v>
      </c>
      <c r="AF693" s="1332"/>
      <c r="AZ693" s="3"/>
    </row>
    <row r="694" spans="1:67" ht="12.9" customHeight="1">
      <c r="B694" s="135"/>
      <c r="C694" s="135"/>
      <c r="D694" s="136" t="s">
        <v>437</v>
      </c>
      <c r="E694" s="135"/>
      <c r="F694" s="135"/>
      <c r="G694" s="135"/>
      <c r="H694" s="135"/>
      <c r="AE694" s="1332" t="str">
        <f>'[1]Data Port'!$G$835</f>
        <v>No</v>
      </c>
      <c r="AF694" s="1332"/>
      <c r="AZ694" s="3"/>
    </row>
    <row r="695" spans="1:67" ht="12.9" customHeight="1">
      <c r="B695" s="135"/>
      <c r="C695" s="135"/>
      <c r="D695" s="136" t="s">
        <v>919</v>
      </c>
      <c r="E695" s="135"/>
      <c r="F695" s="135"/>
      <c r="G695" s="135"/>
      <c r="H695" s="135"/>
      <c r="AE695" s="1692">
        <f>'[1]Data Port'!$G$836</f>
        <v>46160</v>
      </c>
      <c r="AF695" s="1692"/>
      <c r="AG695" s="1692"/>
      <c r="AH695" s="1692"/>
      <c r="AI695" s="1692"/>
    </row>
    <row r="696" spans="1:67" ht="12.9" customHeight="1">
      <c r="B696" s="135"/>
      <c r="C696" s="135"/>
      <c r="D696" s="317" t="s">
        <v>981</v>
      </c>
      <c r="E696" s="135"/>
      <c r="F696" s="135"/>
      <c r="G696" s="135"/>
      <c r="H696" s="135"/>
      <c r="AE696" s="1703">
        <f>'[1]Data Port'!$G$837</f>
        <v>45980</v>
      </c>
      <c r="AF696" s="1703"/>
      <c r="AG696" s="1703"/>
      <c r="AH696" s="1703"/>
      <c r="AI696" s="1703"/>
    </row>
    <row r="697" spans="1:67" ht="12.9" customHeight="1">
      <c r="B697" s="135"/>
      <c r="C697" s="135"/>
    </row>
    <row r="698" spans="1:67" ht="12.9" customHeight="1">
      <c r="B698" s="135"/>
      <c r="C698" s="135"/>
      <c r="D698" s="136" t="s">
        <v>815</v>
      </c>
      <c r="E698" s="135"/>
      <c r="F698" s="135"/>
      <c r="G698" s="135"/>
      <c r="H698" s="135"/>
      <c r="AE698" s="1692">
        <f>'[1]Data Port'!$G$838</f>
        <v>46160</v>
      </c>
      <c r="AF698" s="1692"/>
      <c r="AG698" s="1692"/>
      <c r="AH698" s="1692"/>
      <c r="AI698" s="1692"/>
    </row>
    <row r="699" spans="1:67" ht="12.9" customHeight="1">
      <c r="B699" s="135"/>
      <c r="C699" s="135"/>
      <c r="D699" s="136" t="s">
        <v>435</v>
      </c>
      <c r="E699" s="135"/>
      <c r="F699" s="135"/>
      <c r="G699" s="135"/>
      <c r="H699" s="135"/>
      <c r="AE699" s="1662">
        <f>'[1]Data Port'!$G$839</f>
        <v>0.27500000000000002</v>
      </c>
      <c r="AF699" s="1662"/>
      <c r="AG699" s="1662"/>
      <c r="AH699" s="1662"/>
      <c r="AI699" s="1662"/>
    </row>
    <row r="700" spans="1:67" ht="12.9" customHeight="1">
      <c r="B700" s="135"/>
      <c r="C700" s="135"/>
      <c r="D700" s="136" t="s">
        <v>436</v>
      </c>
      <c r="E700" s="135"/>
      <c r="F700" s="135"/>
      <c r="G700" s="135"/>
      <c r="H700" s="135"/>
      <c r="W700" s="1359">
        <f>H335</f>
        <v>0</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2" t="s">
        <v>668</v>
      </c>
      <c r="AF702" s="1332"/>
      <c r="AZ702" s="4" t="s">
        <v>324</v>
      </c>
    </row>
    <row r="703" spans="1:67" ht="12.9" customHeight="1">
      <c r="B703" s="135"/>
      <c r="C703" s="135"/>
      <c r="D703" s="136" t="s">
        <v>441</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388</v>
      </c>
      <c r="C714" s="1364"/>
      <c r="D714" s="1364"/>
      <c r="E714" s="1364"/>
      <c r="F714" s="1365"/>
      <c r="G714" s="1363" t="s">
        <v>285</v>
      </c>
      <c r="H714" s="1364"/>
      <c r="I714" s="1364"/>
      <c r="J714" s="1365"/>
      <c r="K714" s="1720" t="s">
        <v>1677</v>
      </c>
      <c r="L714" s="1721"/>
      <c r="M714" s="1721"/>
      <c r="N714" s="1722"/>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0"/>
      <c r="CJ717" s="1471"/>
      <c r="CK717" s="121" t="s">
        <v>474</v>
      </c>
      <c r="CL717" s="122"/>
      <c r="CM717" s="1470"/>
      <c r="CN717" s="1471"/>
      <c r="CO717" s="3"/>
      <c r="CP717" s="1387" t="s">
        <v>632</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459</v>
      </c>
      <c r="DK717" s="1463"/>
      <c r="DL717" s="1463"/>
      <c r="DM717" s="1463"/>
      <c r="DN717" s="1463"/>
      <c r="DO717" s="1463" t="s">
        <v>30</v>
      </c>
      <c r="DP717" s="1463"/>
      <c r="DQ717" s="1463"/>
      <c r="DR717" s="1463"/>
      <c r="DS717" s="1463"/>
      <c r="DT717" s="89"/>
      <c r="DU717" s="1463" t="s">
        <v>632</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459</v>
      </c>
      <c r="EP717" s="1463"/>
      <c r="EQ717" s="1463"/>
      <c r="ER717" s="1463"/>
      <c r="ES717" s="1463"/>
      <c r="ET717" s="1463" t="s">
        <v>30</v>
      </c>
      <c r="EU717" s="1463"/>
      <c r="EV717" s="1463"/>
      <c r="EW717" s="1463"/>
      <c r="EX717" s="1463"/>
      <c r="EY717" s="4"/>
      <c r="EZ717" s="1463" t="s">
        <v>632</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459</v>
      </c>
      <c r="FU717" s="1463"/>
      <c r="FV717" s="1463"/>
      <c r="FW717" s="1463"/>
      <c r="FX717" s="1463"/>
      <c r="FY717" s="1463" t="s">
        <v>30</v>
      </c>
      <c r="FZ717" s="1463"/>
      <c r="GA717" s="1463"/>
      <c r="GB717" s="1463"/>
      <c r="GC717" s="1463"/>
    </row>
    <row r="718" spans="1:185" ht="12.9" customHeight="1">
      <c r="A718" s="4"/>
      <c r="B718" s="1348" t="str">
        <f>'[1]Data Port'!$G$847</f>
        <v>SRO/Studio</v>
      </c>
      <c r="C718" s="1338"/>
      <c r="D718" s="1338"/>
      <c r="E718" s="1338"/>
      <c r="F718" s="1339"/>
      <c r="G718" s="1350">
        <f>'[1]Data Port'!$G$848</f>
        <v>26</v>
      </c>
      <c r="H718" s="1351"/>
      <c r="I718" s="1351"/>
      <c r="J718" s="1352"/>
      <c r="K718" s="1343">
        <f>'[1]Data Port'!$G$849</f>
        <v>357</v>
      </c>
      <c r="L718" s="1344"/>
      <c r="M718" s="1344"/>
      <c r="N718" s="1345"/>
      <c r="O718" s="1340">
        <f>'[1]Data Port'!$G$850</f>
        <v>738</v>
      </c>
      <c r="P718" s="1341"/>
      <c r="Q718" s="1341"/>
      <c r="R718" s="1341"/>
      <c r="S718" s="1342"/>
      <c r="T718" s="1340">
        <f>IF(G718=0,0,'[1]Data Port'!$D$851)</f>
        <v>101</v>
      </c>
      <c r="U718" s="1341"/>
      <c r="V718" s="1341"/>
      <c r="W718" s="1342"/>
      <c r="X718" s="1353">
        <f t="shared" ref="X718:X741" si="8">O718+T718</f>
        <v>839</v>
      </c>
      <c r="Y718" s="1354"/>
      <c r="Z718" s="1354"/>
      <c r="AA718" s="1354"/>
      <c r="AB718" s="1355"/>
      <c r="AC718" s="1360">
        <f>IF(G718=0,0,'[1]Data Port'!$D$852)</f>
        <v>0.3</v>
      </c>
      <c r="AD718" s="1361"/>
      <c r="AE718" s="1361"/>
      <c r="AF718" s="1361"/>
      <c r="AG718" s="1362"/>
      <c r="AH718" s="1356">
        <f>IF($AC718&gt;0,($X718/$AZ718), "")</f>
        <v>0.30007153075822601</v>
      </c>
      <c r="AI718" s="1357"/>
      <c r="AJ718" s="1358"/>
      <c r="AK718" s="1348" t="s">
        <v>590</v>
      </c>
      <c r="AL718" s="1338"/>
      <c r="AM718" s="1338"/>
      <c r="AN718" s="1338"/>
      <c r="AO718" s="1339"/>
      <c r="AP718" s="3"/>
      <c r="AQ718" s="3"/>
      <c r="AR718" s="3"/>
      <c r="AS718" s="3"/>
      <c r="AZ718" s="118">
        <f t="shared" ref="AZ718:AZ752" si="9">IF($G718=0,"N/A",VLOOKUP($T$189,TC_Rent,(MATCH($B718,bedrooms,FALSE)),FALSE))</f>
        <v>2796</v>
      </c>
      <c r="BA718" s="3"/>
      <c r="BB718" s="3"/>
      <c r="BC718" s="3"/>
      <c r="BD718" s="3"/>
      <c r="BE718" s="204"/>
      <c r="BF718" s="293">
        <f t="shared" ref="BF718:BF752" si="10">G718</f>
        <v>26</v>
      </c>
      <c r="BG718" s="297">
        <f t="shared" ref="BG718:BG752" si="11">IF($BF$753=0,0,BF718/$BF$753)</f>
        <v>0.10441767068273092</v>
      </c>
      <c r="BH718" s="298">
        <f t="shared" ref="BH718:BH752" si="12">IF(BG718=0,"",BG718*AC718)</f>
        <v>3.1325301204819272E-2</v>
      </c>
      <c r="BI718" s="3"/>
      <c r="BJ718" s="3"/>
      <c r="BK718" s="3"/>
      <c r="BL718" s="3"/>
      <c r="BM718" s="3"/>
      <c r="BN718" s="3"/>
      <c r="BS718" s="293">
        <f t="shared" ref="BS718:BS752" si="13">G718</f>
        <v>26</v>
      </c>
      <c r="BT718" s="297">
        <f t="shared" ref="BT718:BT752" si="14">IF($BS$753=0,0,BS718/$BS$753)</f>
        <v>0.10441767068273092</v>
      </c>
      <c r="BU718" s="298">
        <f t="shared" ref="BU718:BU752" si="15">IF(BT718=0,"",BT718*AH718)</f>
        <v>3.1332770279975407E-2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26</v>
      </c>
      <c r="CN718" s="1471"/>
      <c r="CO718" s="3"/>
      <c r="CP718" s="1459">
        <f t="shared" ref="CP718:CP752" si="18">IF(B718="SRO/Studio",G718,0)</f>
        <v>26</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26</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738</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 customHeight="1">
      <c r="A719" s="4"/>
      <c r="B719" s="1348" t="str">
        <f>'[1]Data Port'!$G$856</f>
        <v>SRO/Studio</v>
      </c>
      <c r="C719" s="1338"/>
      <c r="D719" s="1338"/>
      <c r="E719" s="1338"/>
      <c r="F719" s="1339"/>
      <c r="G719" s="1350">
        <f>'[1]Data Port'!$G$857</f>
        <v>0</v>
      </c>
      <c r="H719" s="1351"/>
      <c r="I719" s="1351"/>
      <c r="J719" s="1352"/>
      <c r="K719" s="1343">
        <f>'[1]Data Port'!$G$858</f>
        <v>357</v>
      </c>
      <c r="L719" s="1344"/>
      <c r="M719" s="1344"/>
      <c r="N719" s="1345"/>
      <c r="O719" s="1340">
        <f>'[1]Data Port'!$G$859</f>
        <v>1018</v>
      </c>
      <c r="P719" s="1341"/>
      <c r="Q719" s="1341"/>
      <c r="R719" s="1341"/>
      <c r="S719" s="1342"/>
      <c r="T719" s="1340">
        <f>IF(G719=0,0,'[1]Data Port'!$D$860)</f>
        <v>0</v>
      </c>
      <c r="U719" s="1341"/>
      <c r="V719" s="1341"/>
      <c r="W719" s="1342"/>
      <c r="X719" s="1353">
        <f t="shared" si="8"/>
        <v>1018</v>
      </c>
      <c r="Y719" s="1354"/>
      <c r="Z719" s="1354"/>
      <c r="AA719" s="1354"/>
      <c r="AB719" s="1355"/>
      <c r="AC719" s="1360">
        <f>IF(G719=0,0,'[1]Data Port'!$D$861)</f>
        <v>0</v>
      </c>
      <c r="AD719" s="1361"/>
      <c r="AE719" s="1361"/>
      <c r="AF719" s="1361"/>
      <c r="AG719" s="1362"/>
      <c r="AH719" s="1356" t="str">
        <f t="shared" ref="AH719:AH752" si="36">IF($AC719&gt;0,($X719/$AZ719), "")</f>
        <v/>
      </c>
      <c r="AI719" s="1357"/>
      <c r="AJ719" s="1358"/>
      <c r="AK719" s="1348" t="s">
        <v>590</v>
      </c>
      <c r="AL719" s="1338"/>
      <c r="AM719" s="1338"/>
      <c r="AN719" s="1338"/>
      <c r="AO719" s="1339"/>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464">
        <f t="shared" ref="CG719:CG752" si="37">IF(AND(AC719&lt;=0.5,AC719&gt;=0.36),1,0)</f>
        <v>0</v>
      </c>
      <c r="CH719" s="1465"/>
      <c r="CI719" s="1470">
        <f t="shared" ref="CI719:CI752" si="38">IF(CG719=1,G719,0)</f>
        <v>0</v>
      </c>
      <c r="CJ719" s="1471"/>
      <c r="CK719" s="1464">
        <f t="shared" si="16"/>
        <v>0</v>
      </c>
      <c r="CL719" s="1465"/>
      <c r="CM719" s="1470">
        <f t="shared" si="17"/>
        <v>0</v>
      </c>
      <c r="CN719" s="1471"/>
      <c r="CO719" s="3"/>
      <c r="CP719" s="1459">
        <f t="shared" si="18"/>
        <v>0</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 customHeight="1">
      <c r="A720" s="4"/>
      <c r="B720" s="1348" t="str">
        <f>'[1]Data Port'!$G$865</f>
        <v>SRO/Studio</v>
      </c>
      <c r="C720" s="1338"/>
      <c r="D720" s="1338"/>
      <c r="E720" s="1338"/>
      <c r="F720" s="1339"/>
      <c r="G720" s="1350">
        <f>'[1]Data Port'!$G$866</f>
        <v>26</v>
      </c>
      <c r="H720" s="1351"/>
      <c r="I720" s="1351"/>
      <c r="J720" s="1352"/>
      <c r="K720" s="1343">
        <f>'[1]Data Port'!$G$867</f>
        <v>357</v>
      </c>
      <c r="L720" s="1344"/>
      <c r="M720" s="1344"/>
      <c r="N720" s="1345"/>
      <c r="O720" s="1340">
        <f>'[1]Data Port'!$G$868</f>
        <v>1297</v>
      </c>
      <c r="P720" s="1341"/>
      <c r="Q720" s="1341"/>
      <c r="R720" s="1341"/>
      <c r="S720" s="1342"/>
      <c r="T720" s="1340">
        <f>IF(G720=0,0,'[1]Data Port'!$D$869)</f>
        <v>101</v>
      </c>
      <c r="U720" s="1341"/>
      <c r="V720" s="1341"/>
      <c r="W720" s="1342"/>
      <c r="X720" s="1353">
        <f t="shared" si="8"/>
        <v>1398</v>
      </c>
      <c r="Y720" s="1354"/>
      <c r="Z720" s="1354"/>
      <c r="AA720" s="1354"/>
      <c r="AB720" s="1355"/>
      <c r="AC720" s="1360">
        <f>IF(G720=0,0,'[1]Data Port'!$D$870)</f>
        <v>0.5</v>
      </c>
      <c r="AD720" s="1361"/>
      <c r="AE720" s="1361"/>
      <c r="AF720" s="1361"/>
      <c r="AG720" s="1362"/>
      <c r="AH720" s="1356">
        <f t="shared" si="36"/>
        <v>0.5</v>
      </c>
      <c r="AI720" s="1357"/>
      <c r="AJ720" s="1358"/>
      <c r="AK720" s="1348" t="s">
        <v>590</v>
      </c>
      <c r="AL720" s="1338"/>
      <c r="AM720" s="1338"/>
      <c r="AN720" s="1338"/>
      <c r="AO720" s="1339"/>
      <c r="AP720" s="3"/>
      <c r="AQ720" s="3"/>
      <c r="AR720" s="3"/>
      <c r="AS720" s="3"/>
      <c r="AZ720" s="118">
        <f t="shared" si="9"/>
        <v>2796</v>
      </c>
      <c r="BA720" s="3"/>
      <c r="BB720" s="3"/>
      <c r="BC720" s="3"/>
      <c r="BD720" s="3"/>
      <c r="BE720" s="204"/>
      <c r="BF720" s="294">
        <f t="shared" si="10"/>
        <v>26</v>
      </c>
      <c r="BG720" s="297">
        <f t="shared" si="11"/>
        <v>0.10441767068273092</v>
      </c>
      <c r="BH720" s="298">
        <f t="shared" si="12"/>
        <v>5.2208835341365459E-2</v>
      </c>
      <c r="BI720" s="3"/>
      <c r="BJ720" s="3"/>
      <c r="BK720" s="3"/>
      <c r="BL720" s="3"/>
      <c r="BM720" s="3"/>
      <c r="BN720" s="3"/>
      <c r="BS720" s="294">
        <f t="shared" si="13"/>
        <v>26</v>
      </c>
      <c r="BT720" s="297">
        <f t="shared" si="14"/>
        <v>0.10441767068273092</v>
      </c>
      <c r="BU720" s="298">
        <f t="shared" si="15"/>
        <v>5.2208835341365459E-2</v>
      </c>
      <c r="CC720" s="3"/>
      <c r="CD720" s="3"/>
      <c r="CE720" s="3"/>
      <c r="CF720" s="3"/>
      <c r="CG720" s="1464">
        <f t="shared" si="37"/>
        <v>1</v>
      </c>
      <c r="CH720" s="1465"/>
      <c r="CI720" s="1470">
        <f t="shared" si="38"/>
        <v>26</v>
      </c>
      <c r="CJ720" s="1471"/>
      <c r="CK720" s="1464">
        <f t="shared" si="16"/>
        <v>0</v>
      </c>
      <c r="CL720" s="1465"/>
      <c r="CM720" s="1470">
        <f t="shared" si="17"/>
        <v>0</v>
      </c>
      <c r="CN720" s="1471"/>
      <c r="CO720" s="3"/>
      <c r="CP720" s="1459">
        <f t="shared" si="18"/>
        <v>26</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f t="shared" si="30"/>
        <v>1297</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 customHeight="1">
      <c r="B721" s="1348" t="str">
        <f>'[1]Data Port'!$G$874</f>
        <v>SRO/Studio</v>
      </c>
      <c r="C721" s="1338"/>
      <c r="D721" s="1338"/>
      <c r="E721" s="1338"/>
      <c r="F721" s="1339"/>
      <c r="G721" s="1350">
        <f>'[1]Data Port'!$G$875</f>
        <v>45</v>
      </c>
      <c r="H721" s="1351"/>
      <c r="I721" s="1351"/>
      <c r="J721" s="1352"/>
      <c r="K721" s="1343">
        <f>'[1]Data Port'!$G$876</f>
        <v>357</v>
      </c>
      <c r="L721" s="1344"/>
      <c r="M721" s="1344"/>
      <c r="N721" s="1345"/>
      <c r="O721" s="1340">
        <f>'[1]Data Port'!$G$877</f>
        <v>1357</v>
      </c>
      <c r="P721" s="1341"/>
      <c r="Q721" s="1341"/>
      <c r="R721" s="1341"/>
      <c r="S721" s="1342"/>
      <c r="T721" s="1340">
        <f>IF(G721=0,0,'[1]Data Port'!$D$878)</f>
        <v>101</v>
      </c>
      <c r="U721" s="1341"/>
      <c r="V721" s="1341"/>
      <c r="W721" s="1342"/>
      <c r="X721" s="1353">
        <f t="shared" si="8"/>
        <v>1458</v>
      </c>
      <c r="Y721" s="1354"/>
      <c r="Z721" s="1354"/>
      <c r="AA721" s="1354"/>
      <c r="AB721" s="1355"/>
      <c r="AC721" s="1360">
        <f>IF(G721=0,0,'[1]Data Port'!$D$879)</f>
        <v>0.6</v>
      </c>
      <c r="AD721" s="1361"/>
      <c r="AE721" s="1361"/>
      <c r="AF721" s="1361"/>
      <c r="AG721" s="1362"/>
      <c r="AH721" s="1356">
        <f t="shared" si="36"/>
        <v>0.52145922746781115</v>
      </c>
      <c r="AI721" s="1357"/>
      <c r="AJ721" s="1358"/>
      <c r="AK721" s="1348" t="s">
        <v>590</v>
      </c>
      <c r="AL721" s="1338"/>
      <c r="AM721" s="1338"/>
      <c r="AN721" s="1338"/>
      <c r="AO721" s="1339"/>
      <c r="AP721" s="3"/>
      <c r="AQ721" s="3"/>
      <c r="AR721" s="3"/>
      <c r="AS721" s="3"/>
      <c r="AY721" s="116"/>
      <c r="AZ721" s="118">
        <f t="shared" si="9"/>
        <v>2796</v>
      </c>
      <c r="BA721" s="3"/>
      <c r="BB721" s="3"/>
      <c r="BC721" s="3"/>
      <c r="BD721" s="3"/>
      <c r="BE721" s="204"/>
      <c r="BF721" s="294">
        <f t="shared" si="10"/>
        <v>45</v>
      </c>
      <c r="BG721" s="297">
        <f t="shared" si="11"/>
        <v>0.18072289156626506</v>
      </c>
      <c r="BH721" s="298">
        <f t="shared" si="12"/>
        <v>0.10843373493975904</v>
      </c>
      <c r="BI721" s="3"/>
      <c r="BJ721" s="3"/>
      <c r="BK721" s="3"/>
      <c r="BL721" s="3"/>
      <c r="BM721" s="3"/>
      <c r="BN721" s="3"/>
      <c r="BS721" s="294">
        <f t="shared" si="13"/>
        <v>45</v>
      </c>
      <c r="BT721" s="297">
        <f t="shared" si="14"/>
        <v>0.18072289156626506</v>
      </c>
      <c r="BU721" s="298">
        <f t="shared" si="15"/>
        <v>9.4239619421893586E-2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45</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f t="shared" si="30"/>
        <v>1357</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 customHeight="1">
      <c r="B722" s="1348" t="str">
        <f>'[1]Data Port'!$G$883</f>
        <v>SRO/Studio</v>
      </c>
      <c r="C722" s="1338"/>
      <c r="D722" s="1338"/>
      <c r="E722" s="1338"/>
      <c r="F722" s="1339"/>
      <c r="G722" s="1350">
        <f>'[1]Data Port'!$G$884</f>
        <v>0</v>
      </c>
      <c r="H722" s="1351"/>
      <c r="I722" s="1351"/>
      <c r="J722" s="1352"/>
      <c r="K722" s="1343">
        <f>'[1]Data Port'!$G$885</f>
        <v>357</v>
      </c>
      <c r="L722" s="1344"/>
      <c r="M722" s="1344"/>
      <c r="N722" s="1345"/>
      <c r="O722" s="1340">
        <f>'[1]Data Port'!$G$886</f>
        <v>1457</v>
      </c>
      <c r="P722" s="1341"/>
      <c r="Q722" s="1341"/>
      <c r="R722" s="1341"/>
      <c r="S722" s="1342"/>
      <c r="T722" s="1340">
        <f>IF(G722=0,0,'[1]Data Port'!$D$887)</f>
        <v>0</v>
      </c>
      <c r="U722" s="1341"/>
      <c r="V722" s="1341"/>
      <c r="W722" s="1342"/>
      <c r="X722" s="1353">
        <f t="shared" si="8"/>
        <v>1457</v>
      </c>
      <c r="Y722" s="1354"/>
      <c r="Z722" s="1354"/>
      <c r="AA722" s="1354"/>
      <c r="AB722" s="1355"/>
      <c r="AC722" s="1360">
        <f>IF(G722=0,0,'[1]Data Port'!$D$888)</f>
        <v>0</v>
      </c>
      <c r="AD722" s="1361"/>
      <c r="AE722" s="1361"/>
      <c r="AF722" s="1361"/>
      <c r="AG722" s="1362"/>
      <c r="AH722" s="1356" t="str">
        <f t="shared" si="36"/>
        <v/>
      </c>
      <c r="AI722" s="1357"/>
      <c r="AJ722" s="1358"/>
      <c r="AK722" s="1348" t="s">
        <v>590</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 customHeight="1">
      <c r="B723" s="1348" t="str">
        <f>'[1]Data Port'!$G$892</f>
        <v>SRO/Studio</v>
      </c>
      <c r="C723" s="1338"/>
      <c r="D723" s="1338"/>
      <c r="E723" s="1338"/>
      <c r="F723" s="1339"/>
      <c r="G723" s="1350">
        <f>'[1]Data Port'!$G$893</f>
        <v>0</v>
      </c>
      <c r="H723" s="1351"/>
      <c r="I723" s="1351"/>
      <c r="J723" s="1352"/>
      <c r="K723" s="1343">
        <f>'[1]Data Port'!$G$894</f>
        <v>357</v>
      </c>
      <c r="L723" s="1344"/>
      <c r="M723" s="1344"/>
      <c r="N723" s="1345"/>
      <c r="O723" s="1340">
        <f>'[1]Data Port'!$G$895</f>
        <v>1457</v>
      </c>
      <c r="P723" s="1341"/>
      <c r="Q723" s="1341"/>
      <c r="R723" s="1341"/>
      <c r="S723" s="1342"/>
      <c r="T723" s="1340">
        <f>IF(G723=0,0,'[1]Data Port'!$D$896)</f>
        <v>0</v>
      </c>
      <c r="U723" s="1341"/>
      <c r="V723" s="1341"/>
      <c r="W723" s="1342"/>
      <c r="X723" s="1353">
        <f t="shared" si="8"/>
        <v>1457</v>
      </c>
      <c r="Y723" s="1354"/>
      <c r="Z723" s="1354"/>
      <c r="AA723" s="1354"/>
      <c r="AB723" s="1355"/>
      <c r="AC723" s="1360">
        <f>IF(G723=0,0,'[1]Data Port'!$D$897)</f>
        <v>0</v>
      </c>
      <c r="AD723" s="1361"/>
      <c r="AE723" s="1361"/>
      <c r="AF723" s="1361"/>
      <c r="AG723" s="1362"/>
      <c r="AH723" s="1356" t="str">
        <f t="shared" si="36"/>
        <v/>
      </c>
      <c r="AI723" s="1357"/>
      <c r="AJ723" s="1358"/>
      <c r="AK723" s="1348" t="s">
        <v>590</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 customHeight="1">
      <c r="B724" s="1348" t="str">
        <f>'[1]Data Port'!$G$901</f>
        <v>1 Bedroom</v>
      </c>
      <c r="C724" s="1338"/>
      <c r="D724" s="1338"/>
      <c r="E724" s="1338"/>
      <c r="F724" s="1339"/>
      <c r="G724" s="1350">
        <f>'[1]Data Port'!$G$902</f>
        <v>0</v>
      </c>
      <c r="H724" s="1351"/>
      <c r="I724" s="1351"/>
      <c r="J724" s="1352"/>
      <c r="K724" s="1343">
        <f>'[1]Data Port'!$G$903</f>
        <v>402</v>
      </c>
      <c r="L724" s="1344"/>
      <c r="M724" s="1344"/>
      <c r="N724" s="1345"/>
      <c r="O724" s="1340">
        <f>'[1]Data Port'!$G$904</f>
        <v>777</v>
      </c>
      <c r="P724" s="1341"/>
      <c r="Q724" s="1341"/>
      <c r="R724" s="1341"/>
      <c r="S724" s="1342"/>
      <c r="T724" s="1340">
        <f>IF(G724=0,0,'[1]Data Port'!$D$905)</f>
        <v>0</v>
      </c>
      <c r="U724" s="1341"/>
      <c r="V724" s="1341"/>
      <c r="W724" s="1342"/>
      <c r="X724" s="1353">
        <f t="shared" si="8"/>
        <v>777</v>
      </c>
      <c r="Y724" s="1354"/>
      <c r="Z724" s="1354"/>
      <c r="AA724" s="1354"/>
      <c r="AB724" s="1355"/>
      <c r="AC724" s="1360">
        <f>IF(G724=0,0,'[1]Data Port'!$D$906)</f>
        <v>0</v>
      </c>
      <c r="AD724" s="1361"/>
      <c r="AE724" s="1361"/>
      <c r="AF724" s="1361"/>
      <c r="AG724" s="1362"/>
      <c r="AH724" s="1356" t="str">
        <f t="shared" si="36"/>
        <v/>
      </c>
      <c r="AI724" s="1357"/>
      <c r="AJ724" s="1358"/>
      <c r="AK724" s="1348" t="s">
        <v>590</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 customHeight="1">
      <c r="B725" s="1348" t="str">
        <f>'[1]Data Port'!$G$910</f>
        <v>1 Bedroom</v>
      </c>
      <c r="C725" s="1338"/>
      <c r="D725" s="1338"/>
      <c r="E725" s="1338"/>
      <c r="F725" s="1339"/>
      <c r="G725" s="1350">
        <f>'[1]Data Port'!$G$911</f>
        <v>0</v>
      </c>
      <c r="H725" s="1351"/>
      <c r="I725" s="1351"/>
      <c r="J725" s="1352"/>
      <c r="K725" s="1343">
        <f>'[1]Data Port'!$G$912</f>
        <v>402</v>
      </c>
      <c r="L725" s="1344"/>
      <c r="M725" s="1344"/>
      <c r="N725" s="1345"/>
      <c r="O725" s="1340">
        <f>'[1]Data Port'!$G$913</f>
        <v>1077</v>
      </c>
      <c r="P725" s="1341"/>
      <c r="Q725" s="1341"/>
      <c r="R725" s="1341"/>
      <c r="S725" s="1342"/>
      <c r="T725" s="1340">
        <f>IF(G725=0,0,'[1]Data Port'!$D$914)</f>
        <v>0</v>
      </c>
      <c r="U725" s="1341"/>
      <c r="V725" s="1341"/>
      <c r="W725" s="1342"/>
      <c r="X725" s="1353">
        <f t="shared" si="8"/>
        <v>1077</v>
      </c>
      <c r="Y725" s="1354"/>
      <c r="Z725" s="1354"/>
      <c r="AA725" s="1354"/>
      <c r="AB725" s="1355"/>
      <c r="AC725" s="1360">
        <f>IF(G725=0,0,'[1]Data Port'!$D$915)</f>
        <v>0</v>
      </c>
      <c r="AD725" s="1361"/>
      <c r="AE725" s="1361"/>
      <c r="AF725" s="1361"/>
      <c r="AG725" s="1362"/>
      <c r="AH725" s="1356" t="str">
        <f t="shared" si="36"/>
        <v/>
      </c>
      <c r="AI725" s="1357"/>
      <c r="AJ725" s="1358"/>
      <c r="AK725" s="1348" t="s">
        <v>590</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 customHeight="1">
      <c r="B726" s="1348" t="str">
        <f>'[1]Data Port'!$G$919</f>
        <v>1 Bedroom</v>
      </c>
      <c r="C726" s="1338"/>
      <c r="D726" s="1338"/>
      <c r="E726" s="1338"/>
      <c r="F726" s="1339"/>
      <c r="G726" s="1350">
        <f>'[1]Data Port'!$G$920</f>
        <v>0</v>
      </c>
      <c r="H726" s="1351"/>
      <c r="I726" s="1351"/>
      <c r="J726" s="1352"/>
      <c r="K726" s="1343">
        <f>'[1]Data Port'!$G$921</f>
        <v>402</v>
      </c>
      <c r="L726" s="1344"/>
      <c r="M726" s="1344"/>
      <c r="N726" s="1345"/>
      <c r="O726" s="1340">
        <f>'[1]Data Port'!$G$922</f>
        <v>1377</v>
      </c>
      <c r="P726" s="1341"/>
      <c r="Q726" s="1341"/>
      <c r="R726" s="1341"/>
      <c r="S726" s="1342"/>
      <c r="T726" s="1340">
        <f>IF(G726=0,0,'[1]Data Port'!$D$923)</f>
        <v>0</v>
      </c>
      <c r="U726" s="1341"/>
      <c r="V726" s="1341"/>
      <c r="W726" s="1342"/>
      <c r="X726" s="1353">
        <f t="shared" si="8"/>
        <v>1377</v>
      </c>
      <c r="Y726" s="1354"/>
      <c r="Z726" s="1354"/>
      <c r="AA726" s="1354"/>
      <c r="AB726" s="1355"/>
      <c r="AC726" s="1360">
        <f>IF(G726=0,0,'[1]Data Port'!$D$924)</f>
        <v>0</v>
      </c>
      <c r="AD726" s="1361"/>
      <c r="AE726" s="1361"/>
      <c r="AF726" s="1361"/>
      <c r="AG726" s="1362"/>
      <c r="AH726" s="1356" t="str">
        <f t="shared" si="36"/>
        <v/>
      </c>
      <c r="AI726" s="1357"/>
      <c r="AJ726" s="1358"/>
      <c r="AK726" s="1348" t="s">
        <v>590</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 customHeight="1">
      <c r="A727" s="4"/>
      <c r="B727" s="1348" t="str">
        <f>'[1]Data Port'!$G$928</f>
        <v>1 Bedroom</v>
      </c>
      <c r="C727" s="1338"/>
      <c r="D727" s="1338"/>
      <c r="E727" s="1338"/>
      <c r="F727" s="1339"/>
      <c r="G727" s="1350">
        <f>'[1]Data Port'!$G$929</f>
        <v>131</v>
      </c>
      <c r="H727" s="1351"/>
      <c r="I727" s="1351"/>
      <c r="J727" s="1352"/>
      <c r="K727" s="1343">
        <f>'[1]Data Port'!$G$930</f>
        <v>402</v>
      </c>
      <c r="L727" s="1344"/>
      <c r="M727" s="1344"/>
      <c r="N727" s="1345"/>
      <c r="O727" s="1340">
        <f>'[1]Data Port'!$G$931</f>
        <v>1412</v>
      </c>
      <c r="P727" s="1341"/>
      <c r="Q727" s="1341"/>
      <c r="R727" s="1341"/>
      <c r="S727" s="1342"/>
      <c r="T727" s="1340">
        <f>IF(G727=0,0,'[1]Data Port'!$D$932)</f>
        <v>122</v>
      </c>
      <c r="U727" s="1341"/>
      <c r="V727" s="1341"/>
      <c r="W727" s="1342"/>
      <c r="X727" s="1353">
        <f t="shared" si="8"/>
        <v>1534</v>
      </c>
      <c r="Y727" s="1354"/>
      <c r="Z727" s="1354"/>
      <c r="AA727" s="1354"/>
      <c r="AB727" s="1355"/>
      <c r="AC727" s="1360">
        <f>IF(G727=0,0,'[1]Data Port'!$D$933)</f>
        <v>0.6</v>
      </c>
      <c r="AD727" s="1361"/>
      <c r="AE727" s="1361"/>
      <c r="AF727" s="1361"/>
      <c r="AG727" s="1362"/>
      <c r="AH727" s="1356">
        <f t="shared" si="36"/>
        <v>0.51201602136181579</v>
      </c>
      <c r="AI727" s="1357"/>
      <c r="AJ727" s="1358"/>
      <c r="AK727" s="1348" t="s">
        <v>590</v>
      </c>
      <c r="AL727" s="1338"/>
      <c r="AM727" s="1338"/>
      <c r="AN727" s="1338"/>
      <c r="AO727" s="1339"/>
      <c r="AP727" s="3"/>
      <c r="AQ727" s="3"/>
      <c r="AR727" s="3"/>
      <c r="AS727" s="3"/>
      <c r="AY727" s="1085"/>
      <c r="AZ727" s="118">
        <f t="shared" si="9"/>
        <v>2996</v>
      </c>
      <c r="BA727" s="3"/>
      <c r="BB727" s="3"/>
      <c r="BC727" s="3"/>
      <c r="BD727" s="3"/>
      <c r="BE727" s="204"/>
      <c r="BF727" s="294">
        <f t="shared" si="10"/>
        <v>131</v>
      </c>
      <c r="BG727" s="297">
        <f t="shared" si="11"/>
        <v>0.52610441767068272</v>
      </c>
      <c r="BH727" s="298">
        <f t="shared" si="12"/>
        <v>0.31566265060240961</v>
      </c>
      <c r="BI727" s="3"/>
      <c r="BJ727" s="3"/>
      <c r="BK727" s="3"/>
      <c r="BL727" s="3"/>
      <c r="BM727" s="3"/>
      <c r="BN727" s="3"/>
      <c r="BS727" s="294">
        <f t="shared" si="13"/>
        <v>131</v>
      </c>
      <c r="BT727" s="297">
        <f t="shared" si="14"/>
        <v>0.52610441767068272</v>
      </c>
      <c r="BU727" s="298">
        <f t="shared" si="15"/>
        <v>0.26937389075661794</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131</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f t="shared" si="31"/>
        <v>1412</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 customHeight="1">
      <c r="A728" s="4"/>
      <c r="B728" s="1348" t="str">
        <f>'[1]Data Port'!$G$937</f>
        <v>1 Bedroom</v>
      </c>
      <c r="C728" s="1338"/>
      <c r="D728" s="1338"/>
      <c r="E728" s="1338"/>
      <c r="F728" s="1339"/>
      <c r="G728" s="1350">
        <f>'[1]Data Port'!$G$938</f>
        <v>0</v>
      </c>
      <c r="H728" s="1351"/>
      <c r="I728" s="1351"/>
      <c r="J728" s="1352"/>
      <c r="K728" s="1343">
        <f>'[1]Data Port'!$G$939</f>
        <v>402</v>
      </c>
      <c r="L728" s="1344"/>
      <c r="M728" s="1344"/>
      <c r="N728" s="1345"/>
      <c r="O728" s="1340">
        <f>'[1]Data Port'!$G$940</f>
        <v>1644</v>
      </c>
      <c r="P728" s="1341"/>
      <c r="Q728" s="1341"/>
      <c r="R728" s="1341"/>
      <c r="S728" s="1342"/>
      <c r="T728" s="1340">
        <f>IF(G728=0,0,'[1]Data Port'!$D$941)</f>
        <v>0</v>
      </c>
      <c r="U728" s="1341"/>
      <c r="V728" s="1341"/>
      <c r="W728" s="1342"/>
      <c r="X728" s="1353">
        <f t="shared" si="8"/>
        <v>1644</v>
      </c>
      <c r="Y728" s="1354"/>
      <c r="Z728" s="1354"/>
      <c r="AA728" s="1354"/>
      <c r="AB728" s="1355"/>
      <c r="AC728" s="1360">
        <f>IF(G728=0,0,'[1]Data Port'!$D$942)</f>
        <v>0</v>
      </c>
      <c r="AD728" s="1361"/>
      <c r="AE728" s="1361"/>
      <c r="AF728" s="1361"/>
      <c r="AG728" s="1362"/>
      <c r="AH728" s="1356" t="str">
        <f t="shared" si="36"/>
        <v/>
      </c>
      <c r="AI728" s="1357"/>
      <c r="AJ728" s="1358"/>
      <c r="AK728" s="1348" t="s">
        <v>590</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 customHeight="1">
      <c r="A729" s="4"/>
      <c r="B729" s="1348" t="str">
        <f>'[1]Data Port'!$G$946</f>
        <v>1 Bedroom</v>
      </c>
      <c r="C729" s="1338"/>
      <c r="D729" s="1338"/>
      <c r="E729" s="1338"/>
      <c r="F729" s="1339"/>
      <c r="G729" s="1350">
        <f>'[1]Data Port'!$G$947</f>
        <v>0</v>
      </c>
      <c r="H729" s="1351"/>
      <c r="I729" s="1351"/>
      <c r="J729" s="1352"/>
      <c r="K729" s="1343">
        <f>'[1]Data Port'!$G$948</f>
        <v>402</v>
      </c>
      <c r="L729" s="1344"/>
      <c r="M729" s="1344"/>
      <c r="N729" s="1345"/>
      <c r="O729" s="1340">
        <f>'[1]Data Port'!$G$949</f>
        <v>1644</v>
      </c>
      <c r="P729" s="1341"/>
      <c r="Q729" s="1341"/>
      <c r="R729" s="1341"/>
      <c r="S729" s="1342"/>
      <c r="T729" s="1340">
        <f>IF(G729=0,0,'[1]Data Port'!$D$950)</f>
        <v>0</v>
      </c>
      <c r="U729" s="1341"/>
      <c r="V729" s="1341"/>
      <c r="W729" s="1342"/>
      <c r="X729" s="1353">
        <f t="shared" si="8"/>
        <v>1644</v>
      </c>
      <c r="Y729" s="1354"/>
      <c r="Z729" s="1354"/>
      <c r="AA729" s="1354"/>
      <c r="AB729" s="1355"/>
      <c r="AC729" s="1360">
        <f>IF(G729=0,0,'[1]Data Port'!$D$951)</f>
        <v>0</v>
      </c>
      <c r="AD729" s="1361"/>
      <c r="AE729" s="1361"/>
      <c r="AF729" s="1361"/>
      <c r="AG729" s="1362"/>
      <c r="AH729" s="1356" t="str">
        <f t="shared" si="36"/>
        <v/>
      </c>
      <c r="AI729" s="1357"/>
      <c r="AJ729" s="1358"/>
      <c r="AK729" s="1348" t="s">
        <v>590</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 customHeight="1">
      <c r="B730" s="1348" t="str">
        <f>'[1]Data Port'!$G$955</f>
        <v>2 Bedrooms</v>
      </c>
      <c r="C730" s="1338"/>
      <c r="D730" s="1338"/>
      <c r="E730" s="1338"/>
      <c r="F730" s="1339"/>
      <c r="G730" s="1350">
        <f>'[1]Data Port'!$G$956</f>
        <v>0</v>
      </c>
      <c r="H730" s="1351"/>
      <c r="I730" s="1351"/>
      <c r="J730" s="1352"/>
      <c r="K730" s="1343">
        <f>'[1]Data Port'!$G$958</f>
        <v>909</v>
      </c>
      <c r="L730" s="1344"/>
      <c r="M730" s="1344"/>
      <c r="N730" s="1345"/>
      <c r="O730" s="1340">
        <f>'[1]Data Port'!$G$958</f>
        <v>909</v>
      </c>
      <c r="P730" s="1341"/>
      <c r="Q730" s="1341"/>
      <c r="R730" s="1341"/>
      <c r="S730" s="1342"/>
      <c r="T730" s="1340">
        <f>IF(G730=0,0,'[1]Data Port'!$D$959)</f>
        <v>0</v>
      </c>
      <c r="U730" s="1341"/>
      <c r="V730" s="1341"/>
      <c r="W730" s="1342"/>
      <c r="X730" s="1353">
        <f t="shared" si="8"/>
        <v>909</v>
      </c>
      <c r="Y730" s="1354"/>
      <c r="Z730" s="1354"/>
      <c r="AA730" s="1354"/>
      <c r="AB730" s="1355"/>
      <c r="AC730" s="1360">
        <f>IF(G730=0,0,'[1]Data Port'!$D$960)</f>
        <v>0</v>
      </c>
      <c r="AD730" s="1361"/>
      <c r="AE730" s="1361"/>
      <c r="AF730" s="1361"/>
      <c r="AG730" s="1362"/>
      <c r="AH730" s="1356" t="str">
        <f t="shared" si="36"/>
        <v/>
      </c>
      <c r="AI730" s="1357"/>
      <c r="AJ730" s="1358"/>
      <c r="AK730" s="1348" t="s">
        <v>590</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 customHeight="1">
      <c r="B731" s="1348" t="str">
        <f>'[1]Data Port'!$G$964</f>
        <v>2 Bedrooms</v>
      </c>
      <c r="C731" s="1338"/>
      <c r="D731" s="1338"/>
      <c r="E731" s="1338"/>
      <c r="F731" s="1339"/>
      <c r="G731" s="1350">
        <f>'[1]Data Port'!$G$965</f>
        <v>0</v>
      </c>
      <c r="H731" s="1351"/>
      <c r="I731" s="1351"/>
      <c r="J731" s="1352"/>
      <c r="K731" s="1343">
        <f>'[1]Data Port'!$G$966</f>
        <v>850</v>
      </c>
      <c r="L731" s="1344"/>
      <c r="M731" s="1344"/>
      <c r="N731" s="1345"/>
      <c r="O731" s="1340">
        <f>'[1]Data Port'!$G$967</f>
        <v>1269</v>
      </c>
      <c r="P731" s="1341"/>
      <c r="Q731" s="1341"/>
      <c r="R731" s="1341"/>
      <c r="S731" s="1342"/>
      <c r="T731" s="1340">
        <f>IF(G731=0,0,'[1]Data Port'!$D$968)</f>
        <v>0</v>
      </c>
      <c r="U731" s="1341"/>
      <c r="V731" s="1341"/>
      <c r="W731" s="1342"/>
      <c r="X731" s="1353">
        <f t="shared" si="8"/>
        <v>1269</v>
      </c>
      <c r="Y731" s="1354"/>
      <c r="Z731" s="1354"/>
      <c r="AA731" s="1354"/>
      <c r="AB731" s="1355"/>
      <c r="AC731" s="1360">
        <f>IF(G731=0,0,'[1]Data Port'!$D$969)</f>
        <v>0</v>
      </c>
      <c r="AD731" s="1361"/>
      <c r="AE731" s="1361"/>
      <c r="AF731" s="1361"/>
      <c r="AG731" s="1362"/>
      <c r="AH731" s="1356" t="str">
        <f t="shared" si="36"/>
        <v/>
      </c>
      <c r="AI731" s="1357"/>
      <c r="AJ731" s="1358"/>
      <c r="AK731" s="1348" t="s">
        <v>590</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 customHeight="1">
      <c r="B732" s="1348" t="str">
        <f>'[1]Data Port'!$G$973</f>
        <v>2 Bedrooms</v>
      </c>
      <c r="C732" s="1338"/>
      <c r="D732" s="1338"/>
      <c r="E732" s="1338"/>
      <c r="F732" s="1339"/>
      <c r="G732" s="1350">
        <f>'[1]Data Port'!$G$974</f>
        <v>0</v>
      </c>
      <c r="H732" s="1351"/>
      <c r="I732" s="1351"/>
      <c r="J732" s="1352"/>
      <c r="K732" s="1343">
        <f>'[1]Data Port'!$G$975</f>
        <v>850</v>
      </c>
      <c r="L732" s="1344"/>
      <c r="M732" s="1344"/>
      <c r="N732" s="1345"/>
      <c r="O732" s="1340">
        <f>'[1]Data Port'!$G$976</f>
        <v>1628</v>
      </c>
      <c r="P732" s="1341"/>
      <c r="Q732" s="1341"/>
      <c r="R732" s="1341"/>
      <c r="S732" s="1342"/>
      <c r="T732" s="1340">
        <f>IF(G732=0,0,'[1]Data Port'!$D$977)</f>
        <v>0</v>
      </c>
      <c r="U732" s="1341"/>
      <c r="V732" s="1341"/>
      <c r="W732" s="1342"/>
      <c r="X732" s="1353">
        <f t="shared" si="8"/>
        <v>1628</v>
      </c>
      <c r="Y732" s="1354"/>
      <c r="Z732" s="1354"/>
      <c r="AA732" s="1354"/>
      <c r="AB732" s="1355"/>
      <c r="AC732" s="1360">
        <f>IF(G732=0,0,'[1]Data Port'!$D$978)</f>
        <v>0</v>
      </c>
      <c r="AD732" s="1361"/>
      <c r="AE732" s="1361"/>
      <c r="AF732" s="1361"/>
      <c r="AG732" s="1362"/>
      <c r="AH732" s="1356" t="str">
        <f t="shared" si="36"/>
        <v/>
      </c>
      <c r="AI732" s="1357"/>
      <c r="AJ732" s="1358"/>
      <c r="AK732" s="1348" t="s">
        <v>590</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 customHeight="1">
      <c r="B733" s="1348" t="str">
        <f>'[1]Data Port'!$G$982</f>
        <v>2 Bedrooms</v>
      </c>
      <c r="C733" s="1338"/>
      <c r="D733" s="1338"/>
      <c r="E733" s="1338"/>
      <c r="F733" s="1339"/>
      <c r="G733" s="1350">
        <f>'[1]Data Port'!$G$983</f>
        <v>0</v>
      </c>
      <c r="H733" s="1351"/>
      <c r="I733" s="1351"/>
      <c r="J733" s="1352"/>
      <c r="K733" s="1343">
        <f>'[1]Data Port'!$G$984</f>
        <v>850</v>
      </c>
      <c r="L733" s="1344"/>
      <c r="M733" s="1344"/>
      <c r="N733" s="1345"/>
      <c r="O733" s="1340">
        <f>'[1]Data Port'!$G$985</f>
        <v>1988</v>
      </c>
      <c r="P733" s="1341"/>
      <c r="Q733" s="1341"/>
      <c r="R733" s="1341"/>
      <c r="S733" s="1342"/>
      <c r="T733" s="1340">
        <f>IF(G733=0,0,'[1]Data Port'!$D$986)</f>
        <v>0</v>
      </c>
      <c r="U733" s="1341"/>
      <c r="V733" s="1341"/>
      <c r="W733" s="1342"/>
      <c r="X733" s="1353">
        <f t="shared" si="8"/>
        <v>1988</v>
      </c>
      <c r="Y733" s="1354"/>
      <c r="Z733" s="1354"/>
      <c r="AA733" s="1354"/>
      <c r="AB733" s="1355"/>
      <c r="AC733" s="1360">
        <f>IF(G733=0,0,'[1]Data Port'!$D$987)</f>
        <v>0</v>
      </c>
      <c r="AD733" s="1361"/>
      <c r="AE733" s="1361"/>
      <c r="AF733" s="1361"/>
      <c r="AG733" s="1362"/>
      <c r="AH733" s="1356" t="str">
        <f t="shared" si="36"/>
        <v/>
      </c>
      <c r="AI733" s="1357"/>
      <c r="AJ733" s="1358"/>
      <c r="AK733" s="1348" t="s">
        <v>590</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 customHeight="1">
      <c r="B734" s="1348" t="str">
        <f>'[1]Data Port'!$G$991</f>
        <v>2 Bedrooms</v>
      </c>
      <c r="C734" s="1338"/>
      <c r="D734" s="1338"/>
      <c r="E734" s="1338"/>
      <c r="F734" s="1339"/>
      <c r="G734" s="1350">
        <f>'[1]Data Port'!$G$992</f>
        <v>21</v>
      </c>
      <c r="H734" s="1351"/>
      <c r="I734" s="1351"/>
      <c r="J734" s="1352"/>
      <c r="K734" s="1343">
        <f>'[1]Data Port'!$G$993</f>
        <v>850</v>
      </c>
      <c r="L734" s="1344"/>
      <c r="M734" s="1344"/>
      <c r="N734" s="1345"/>
      <c r="O734" s="1340">
        <f>'[1]Data Port'!$G$994</f>
        <v>2348</v>
      </c>
      <c r="P734" s="1341"/>
      <c r="Q734" s="1341"/>
      <c r="R734" s="1341"/>
      <c r="S734" s="1342"/>
      <c r="T734" s="1340">
        <f>IF(G734=0,0,'[1]Data Port'!$D$995)</f>
        <v>170</v>
      </c>
      <c r="U734" s="1341"/>
      <c r="V734" s="1341"/>
      <c r="W734" s="1342"/>
      <c r="X734" s="1353">
        <f t="shared" si="8"/>
        <v>2518</v>
      </c>
      <c r="Y734" s="1354"/>
      <c r="Z734" s="1354"/>
      <c r="AA734" s="1354"/>
      <c r="AB734" s="1355"/>
      <c r="AC734" s="1360">
        <f>IF(G734=0,0,'[1]Data Port'!$D$996)</f>
        <v>0.7</v>
      </c>
      <c r="AD734" s="1361"/>
      <c r="AE734" s="1361"/>
      <c r="AF734" s="1361"/>
      <c r="AG734" s="1362"/>
      <c r="AH734" s="1356">
        <f t="shared" si="36"/>
        <v>0.70022246941045607</v>
      </c>
      <c r="AI734" s="1357"/>
      <c r="AJ734" s="1358"/>
      <c r="AK734" s="1348" t="s">
        <v>590</v>
      </c>
      <c r="AL734" s="1338"/>
      <c r="AM734" s="1338"/>
      <c r="AN734" s="1338"/>
      <c r="AO734" s="1339"/>
      <c r="AP734" s="3"/>
      <c r="AQ734" s="3"/>
      <c r="AR734" s="3"/>
      <c r="AS734" s="3"/>
      <c r="AY734" s="1085"/>
      <c r="AZ734" s="118">
        <f t="shared" si="9"/>
        <v>3596</v>
      </c>
      <c r="BA734" s="3"/>
      <c r="BB734" s="3"/>
      <c r="BC734" s="3"/>
      <c r="BD734" s="3"/>
      <c r="BE734" s="204"/>
      <c r="BF734" s="294">
        <f t="shared" si="10"/>
        <v>21</v>
      </c>
      <c r="BG734" s="297">
        <f t="shared" si="11"/>
        <v>8.4337349397590355E-2</v>
      </c>
      <c r="BH734" s="298">
        <f t="shared" si="12"/>
        <v>5.9036144578313243E-2</v>
      </c>
      <c r="BI734" s="3"/>
      <c r="BJ734" s="3"/>
      <c r="BK734" s="3"/>
      <c r="BL734" s="3"/>
      <c r="BM734" s="3"/>
      <c r="BN734" s="3"/>
      <c r="BS734" s="294">
        <f t="shared" si="13"/>
        <v>21</v>
      </c>
      <c r="BT734" s="297">
        <f t="shared" si="14"/>
        <v>8.4337349397590355E-2</v>
      </c>
      <c r="BU734" s="298">
        <f t="shared" si="15"/>
        <v>5.9054907058713156E-2</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21</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f t="shared" si="32"/>
        <v>2348</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 customHeight="1">
      <c r="B735" s="1348" t="str">
        <f>'[1]Data Port'!$G$1000</f>
        <v>2 Bedrooms</v>
      </c>
      <c r="C735" s="1338"/>
      <c r="D735" s="1338"/>
      <c r="E735" s="1338"/>
      <c r="F735" s="1339"/>
      <c r="G735" s="1350">
        <f>'[1]Data Port'!$G$1001</f>
        <v>0</v>
      </c>
      <c r="H735" s="1351"/>
      <c r="I735" s="1351"/>
      <c r="J735" s="1352"/>
      <c r="K735" s="1343">
        <f>'[1]Data Port'!$G$1002</f>
        <v>850</v>
      </c>
      <c r="L735" s="1344"/>
      <c r="M735" s="1344"/>
      <c r="N735" s="1345"/>
      <c r="O735" s="1340">
        <f>'[1]Data Port'!$G$1003</f>
        <v>2707</v>
      </c>
      <c r="P735" s="1341"/>
      <c r="Q735" s="1341"/>
      <c r="R735" s="1341"/>
      <c r="S735" s="1342"/>
      <c r="T735" s="1340">
        <f>IF(G735=0,0,'[1]Data Port'!$D$1004)</f>
        <v>0</v>
      </c>
      <c r="U735" s="1341"/>
      <c r="V735" s="1341"/>
      <c r="W735" s="1342"/>
      <c r="X735" s="1353">
        <f t="shared" si="8"/>
        <v>2707</v>
      </c>
      <c r="Y735" s="1354"/>
      <c r="Z735" s="1354"/>
      <c r="AA735" s="1354"/>
      <c r="AB735" s="1355"/>
      <c r="AC735" s="1360">
        <f>IF(G735=0,0,'[1]Data Port'!$D$1005)</f>
        <v>0</v>
      </c>
      <c r="AD735" s="1361"/>
      <c r="AE735" s="1361"/>
      <c r="AF735" s="1361"/>
      <c r="AG735" s="1362"/>
      <c r="AH735" s="1356" t="str">
        <f t="shared" si="36"/>
        <v/>
      </c>
      <c r="AI735" s="1357"/>
      <c r="AJ735" s="1358"/>
      <c r="AK735" s="1855" t="s">
        <v>590</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 customHeight="1">
      <c r="B736" s="1337" t="str">
        <f>'[1]Data Port'!$D$1425</f>
        <v>3 Bedrooms</v>
      </c>
      <c r="C736" s="1338"/>
      <c r="D736" s="1338"/>
      <c r="E736" s="1338"/>
      <c r="F736" s="1339"/>
      <c r="G736" s="1350">
        <f>'[1]Data Port'!$D$1426</f>
        <v>0</v>
      </c>
      <c r="H736" s="1351"/>
      <c r="I736" s="1351"/>
      <c r="J736" s="1352"/>
      <c r="K736" s="1343">
        <f>'[1]Data Port'!$D$1427</f>
        <v>1000</v>
      </c>
      <c r="L736" s="1344"/>
      <c r="M736" s="1344"/>
      <c r="N736" s="1345"/>
      <c r="O736" s="1340">
        <f>'[1]Data Port'!$D$1428</f>
        <v>265</v>
      </c>
      <c r="P736" s="1341"/>
      <c r="Q736" s="1341"/>
      <c r="R736" s="1341"/>
      <c r="S736" s="1342"/>
      <c r="T736" s="1340">
        <f>IF(G736=0,0,'[1]Data Port'!$D$1429)</f>
        <v>0</v>
      </c>
      <c r="U736" s="1341"/>
      <c r="V736" s="1341"/>
      <c r="W736" s="1342"/>
      <c r="X736" s="1353">
        <f t="shared" si="8"/>
        <v>265</v>
      </c>
      <c r="Y736" s="1354"/>
      <c r="Z736" s="1354"/>
      <c r="AA736" s="1354"/>
      <c r="AB736" s="1355"/>
      <c r="AC736" s="1360">
        <f>IF(G736=0,0,'[1]Data Port'!$D$1430)</f>
        <v>0</v>
      </c>
      <c r="AD736" s="1361"/>
      <c r="AE736" s="1361"/>
      <c r="AF736" s="1361"/>
      <c r="AG736" s="1362"/>
      <c r="AH736" s="1356" t="str">
        <f t="shared" si="36"/>
        <v/>
      </c>
      <c r="AI736" s="1357"/>
      <c r="AJ736" s="1358"/>
      <c r="AK736" s="1348" t="s">
        <v>590</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 customHeight="1">
      <c r="B737" s="1337" t="str">
        <f>'[1]Data Port'!$D$1434</f>
        <v>3 Bedrooms</v>
      </c>
      <c r="C737" s="1338"/>
      <c r="D737" s="1338"/>
      <c r="E737" s="1338"/>
      <c r="F737" s="1339"/>
      <c r="G737" s="1350">
        <f>'[1]Data Port'!$D$1435</f>
        <v>0</v>
      </c>
      <c r="H737" s="1351"/>
      <c r="I737" s="1351"/>
      <c r="J737" s="1352"/>
      <c r="K737" s="1343">
        <f>'[1]Data Port'!$D$1436</f>
        <v>1000</v>
      </c>
      <c r="L737" s="1344"/>
      <c r="M737" s="1344"/>
      <c r="N737" s="1345"/>
      <c r="O737" s="1340">
        <f>'[1]Data Port'!$D$1437</f>
        <v>265</v>
      </c>
      <c r="P737" s="1341"/>
      <c r="Q737" s="1341"/>
      <c r="R737" s="1341"/>
      <c r="S737" s="1342"/>
      <c r="T737" s="1340">
        <f>IF(G735=0,0,'[1]Data Port'!$D$1438)</f>
        <v>0</v>
      </c>
      <c r="U737" s="1341"/>
      <c r="V737" s="1341"/>
      <c r="W737" s="1342"/>
      <c r="X737" s="1353">
        <f t="shared" si="8"/>
        <v>265</v>
      </c>
      <c r="Y737" s="1354"/>
      <c r="Z737" s="1354"/>
      <c r="AA737" s="1354"/>
      <c r="AB737" s="1355"/>
      <c r="AC737" s="1360">
        <f>IF(G737=0,0,'[1]Data Port'!$D$1439)</f>
        <v>0</v>
      </c>
      <c r="AD737" s="1361"/>
      <c r="AE737" s="1361"/>
      <c r="AF737" s="1361"/>
      <c r="AG737" s="1362"/>
      <c r="AH737" s="1356" t="str">
        <f t="shared" si="36"/>
        <v/>
      </c>
      <c r="AI737" s="1357"/>
      <c r="AJ737" s="1358"/>
      <c r="AK737" s="1348" t="s">
        <v>590</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 customHeight="1">
      <c r="B738" s="1337" t="str">
        <f>'[1]Data Port'!$D$1443</f>
        <v>3 Bedrooms</v>
      </c>
      <c r="C738" s="1338"/>
      <c r="D738" s="1338"/>
      <c r="E738" s="1338"/>
      <c r="F738" s="1339"/>
      <c r="G738" s="1350">
        <f>'[1]Data Port'!$D$1444</f>
        <v>0</v>
      </c>
      <c r="H738" s="1351"/>
      <c r="I738" s="1351"/>
      <c r="J738" s="1352"/>
      <c r="K738" s="1343">
        <f>'[1]Data Port'!$D$1445</f>
        <v>1000</v>
      </c>
      <c r="L738" s="1344"/>
      <c r="M738" s="1344"/>
      <c r="N738" s="1345"/>
      <c r="O738" s="1340">
        <f>'[1]Data Port'!$D$1446</f>
        <v>265</v>
      </c>
      <c r="P738" s="1341"/>
      <c r="Q738" s="1341"/>
      <c r="R738" s="1341"/>
      <c r="S738" s="1342"/>
      <c r="T738" s="1340">
        <f>IF(G738=0,0,'[1]Data Port'!$D$1447)</f>
        <v>0</v>
      </c>
      <c r="U738" s="1341"/>
      <c r="V738" s="1341"/>
      <c r="W738" s="1342"/>
      <c r="X738" s="1353">
        <f t="shared" si="8"/>
        <v>265</v>
      </c>
      <c r="Y738" s="1354"/>
      <c r="Z738" s="1354"/>
      <c r="AA738" s="1354"/>
      <c r="AB738" s="1355"/>
      <c r="AC738" s="1360">
        <f>IF(G738=0,0,'[1]Data Port'!$D$1448)</f>
        <v>0</v>
      </c>
      <c r="AD738" s="1361"/>
      <c r="AE738" s="1361"/>
      <c r="AF738" s="1361"/>
      <c r="AG738" s="1362"/>
      <c r="AH738" s="1356" t="str">
        <f t="shared" si="36"/>
        <v/>
      </c>
      <c r="AI738" s="1357"/>
      <c r="AJ738" s="1358"/>
      <c r="AK738" s="1348" t="s">
        <v>590</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 customHeight="1">
      <c r="B739" s="1337" t="str">
        <f>'[1]Data Port'!$D$1452</f>
        <v>3 Bedrooms</v>
      </c>
      <c r="C739" s="1338"/>
      <c r="D739" s="1338"/>
      <c r="E739" s="1338"/>
      <c r="F739" s="1339"/>
      <c r="G739" s="1350">
        <f>'[1]Data Port'!$D$1453</f>
        <v>0</v>
      </c>
      <c r="H739" s="1351"/>
      <c r="I739" s="1351"/>
      <c r="J739" s="1352"/>
      <c r="K739" s="1343">
        <f>'[1]Data Port'!$D$1454</f>
        <v>1000</v>
      </c>
      <c r="L739" s="1344"/>
      <c r="M739" s="1344"/>
      <c r="N739" s="1345"/>
      <c r="O739" s="1340">
        <f>'[1]Data Port'!$D$1455</f>
        <v>265</v>
      </c>
      <c r="P739" s="1341"/>
      <c r="Q739" s="1341"/>
      <c r="R739" s="1341"/>
      <c r="S739" s="1342"/>
      <c r="T739" s="1340">
        <f>IF(G739=0,0,'[1]Data Port'!$D$1456)</f>
        <v>0</v>
      </c>
      <c r="U739" s="1341"/>
      <c r="V739" s="1341"/>
      <c r="W739" s="1342"/>
      <c r="X739" s="1353">
        <f t="shared" si="8"/>
        <v>265</v>
      </c>
      <c r="Y739" s="1354"/>
      <c r="Z739" s="1354"/>
      <c r="AA739" s="1354"/>
      <c r="AB739" s="1355"/>
      <c r="AC739" s="1360">
        <f>IF(G739=0,0,'[1]Data Port'!$D$1457)</f>
        <v>0</v>
      </c>
      <c r="AD739" s="1361"/>
      <c r="AE739" s="1361"/>
      <c r="AF739" s="1361"/>
      <c r="AG739" s="1362"/>
      <c r="AH739" s="1356" t="str">
        <f t="shared" si="36"/>
        <v/>
      </c>
      <c r="AI739" s="1357"/>
      <c r="AJ739" s="1358"/>
      <c r="AK739" s="1348" t="s">
        <v>590</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 customHeight="1">
      <c r="B740" s="1337" t="str">
        <f>'[1]Data Port'!$D$1461</f>
        <v>3 Bedrooms</v>
      </c>
      <c r="C740" s="1338"/>
      <c r="D740" s="1338"/>
      <c r="E740" s="1338"/>
      <c r="F740" s="1339"/>
      <c r="G740" s="1350">
        <f>'[1]Data Port'!$D$1462</f>
        <v>0</v>
      </c>
      <c r="H740" s="1351"/>
      <c r="I740" s="1351"/>
      <c r="J740" s="1352"/>
      <c r="K740" s="1343">
        <f>'[1]Data Port'!$D$1463</f>
        <v>1000</v>
      </c>
      <c r="L740" s="1344"/>
      <c r="M740" s="1344"/>
      <c r="N740" s="1345"/>
      <c r="O740" s="1340">
        <f>'[1]Data Port'!$D$1464</f>
        <v>265</v>
      </c>
      <c r="P740" s="1341"/>
      <c r="Q740" s="1341"/>
      <c r="R740" s="1341"/>
      <c r="S740" s="1342"/>
      <c r="T740" s="1340">
        <f>IF(G740=0,0,'[1]Data Port'!$D$1465)</f>
        <v>0</v>
      </c>
      <c r="U740" s="1341"/>
      <c r="V740" s="1341"/>
      <c r="W740" s="1342"/>
      <c r="X740" s="1353">
        <f t="shared" si="8"/>
        <v>265</v>
      </c>
      <c r="Y740" s="1354"/>
      <c r="Z740" s="1354"/>
      <c r="AA740" s="1354"/>
      <c r="AB740" s="1355"/>
      <c r="AC740" s="1360">
        <f>IF(G740=0,0,'[1]Data Port'!$D$1466)</f>
        <v>0</v>
      </c>
      <c r="AD740" s="1361"/>
      <c r="AE740" s="1361"/>
      <c r="AF740" s="1361"/>
      <c r="AG740" s="1362"/>
      <c r="AH740" s="1356" t="str">
        <f t="shared" si="36"/>
        <v/>
      </c>
      <c r="AI740" s="1357"/>
      <c r="AJ740" s="1358"/>
      <c r="AK740" s="1348" t="s">
        <v>590</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 customHeight="1">
      <c r="B741" s="1337" t="str">
        <f>'[1]Data Port'!$D$1470</f>
        <v>3 Bedrooms</v>
      </c>
      <c r="C741" s="1338"/>
      <c r="D741" s="1338"/>
      <c r="E741" s="1338"/>
      <c r="F741" s="1339"/>
      <c r="G741" s="1350">
        <f>'[1]Data Port'!$D$1471</f>
        <v>0</v>
      </c>
      <c r="H741" s="1351"/>
      <c r="I741" s="1351"/>
      <c r="J741" s="1352"/>
      <c r="K741" s="1343">
        <f>'[1]Data Port'!$D$1472</f>
        <v>1000</v>
      </c>
      <c r="L741" s="1344"/>
      <c r="M741" s="1344"/>
      <c r="N741" s="1345"/>
      <c r="O741" s="1340">
        <f>'[1]Data Port'!$D$1473</f>
        <v>265</v>
      </c>
      <c r="P741" s="1341"/>
      <c r="Q741" s="1341"/>
      <c r="R741" s="1341"/>
      <c r="S741" s="1342"/>
      <c r="T741" s="1340">
        <f>IF(G741=0,0,'[1]Data Port'!$D$1474)</f>
        <v>0</v>
      </c>
      <c r="U741" s="1341"/>
      <c r="V741" s="1341"/>
      <c r="W741" s="1342"/>
      <c r="X741" s="1353">
        <f t="shared" si="8"/>
        <v>265</v>
      </c>
      <c r="Y741" s="1354"/>
      <c r="Z741" s="1354"/>
      <c r="AA741" s="1354"/>
      <c r="AB741" s="1355"/>
      <c r="AC741" s="1360">
        <f>IF(G741=0,0,'[1]Data Port'!$D$1475)</f>
        <v>0</v>
      </c>
      <c r="AD741" s="1361"/>
      <c r="AE741" s="1361"/>
      <c r="AF741" s="1361"/>
      <c r="AG741" s="1362"/>
      <c r="AH741" s="1356" t="str">
        <f t="shared" si="36"/>
        <v/>
      </c>
      <c r="AI741" s="1357"/>
      <c r="AJ741" s="1358"/>
      <c r="AK741" s="1348" t="s">
        <v>590</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 customHeight="1">
      <c r="B742" s="1348"/>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48" t="s">
        <v>590</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 customHeight="1">
      <c r="A743"/>
      <c r="B743" s="1348"/>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48" t="s">
        <v>590</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 customHeight="1">
      <c r="B744" s="1348"/>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48" t="s">
        <v>590</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 customHeight="1">
      <c r="B745" s="1348"/>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48" t="s">
        <v>590</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 customHeight="1">
      <c r="B746" s="1348"/>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48" t="s">
        <v>590</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 customHeight="1">
      <c r="B747" s="1348"/>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48" t="s">
        <v>590</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 customHeight="1">
      <c r="A748"/>
      <c r="B748" s="1348"/>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48" t="s">
        <v>590</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 customHeight="1">
      <c r="A749"/>
      <c r="B749" s="1348"/>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48" t="s">
        <v>590</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 customHeight="1">
      <c r="A750"/>
      <c r="B750" s="1348"/>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48" t="s">
        <v>590</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 customHeight="1">
      <c r="A751"/>
      <c r="B751" s="1348"/>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48" t="s">
        <v>590</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 customHeight="1">
      <c r="A752"/>
      <c r="B752" s="1348"/>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48" t="s">
        <v>590</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 customHeight="1">
      <c r="A753"/>
      <c r="B753" s="1450" t="s">
        <v>125</v>
      </c>
      <c r="C753" s="1451"/>
      <c r="D753" s="1451"/>
      <c r="E753" s="1451"/>
      <c r="F753" s="1452"/>
      <c r="G753" s="1622">
        <f>SUM(G718:G752)</f>
        <v>249</v>
      </c>
      <c r="H753" s="1623"/>
      <c r="I753" s="1623"/>
      <c r="J753" s="1624"/>
      <c r="K753" s="902" t="s">
        <v>124</v>
      </c>
      <c r="L753" s="5"/>
      <c r="M753" s="5"/>
      <c r="N753" s="46"/>
      <c r="O753" s="1353">
        <f>SUMPRODUCT(G718:G752,O718:O752)</f>
        <v>348255</v>
      </c>
      <c r="P753" s="1354"/>
      <c r="Q753" s="1354"/>
      <c r="R753" s="1354"/>
      <c r="S753" s="1355"/>
      <c r="T753"/>
      <c r="U753"/>
      <c r="V753"/>
      <c r="W753"/>
      <c r="X753" s="904" t="s">
        <v>899</v>
      </c>
      <c r="Y753" s="903"/>
      <c r="Z753" s="903"/>
      <c r="AA753" s="903"/>
      <c r="AB753" s="905"/>
      <c r="AC753" s="1605">
        <f>BH753</f>
        <v>0.56666666666666665</v>
      </c>
      <c r="AD753" s="1606"/>
      <c r="AE753" s="1606"/>
      <c r="AF753" s="1606"/>
      <c r="AG753" s="1607"/>
      <c r="AH753" s="1605">
        <f>IFERROR(BU753,"")</f>
        <v>0.50621002285856553</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SUM(BF718:BF752)</f>
        <v>249</v>
      </c>
      <c r="BG753" s="300">
        <f>SUM(BG718:BG752)</f>
        <v>1</v>
      </c>
      <c r="BH753" s="300">
        <f>SUM(BH718:BH752)</f>
        <v>0.56666666666666665</v>
      </c>
      <c r="BI753"/>
      <c r="BJ753"/>
      <c r="BK753"/>
      <c r="BL753"/>
      <c r="BO753"/>
      <c r="BP753"/>
      <c r="BQ753"/>
      <c r="BR753"/>
      <c r="BS753" s="859">
        <f>SUM(BS718:BS752)</f>
        <v>249</v>
      </c>
      <c r="BT753" s="300">
        <f>SUM(BT718:BT752)</f>
        <v>1</v>
      </c>
      <c r="BU753" s="300">
        <f>SUM(BU718:BU752)</f>
        <v>0.50621002285856553</v>
      </c>
      <c r="CI753" s="1464">
        <f>SUM(CI718:CJ752)</f>
        <v>26</v>
      </c>
      <c r="CJ753" s="1465"/>
      <c r="CM753" s="1464">
        <f>SUM(CM718:CN752)</f>
        <v>26</v>
      </c>
      <c r="CN753" s="1465"/>
      <c r="CP753" s="1464">
        <f>SUM(CP718:CT752)</f>
        <v>97</v>
      </c>
      <c r="CQ753" s="1466"/>
      <c r="CR753" s="1466"/>
      <c r="CS753" s="1466"/>
      <c r="CT753" s="1465"/>
      <c r="CU753" s="1462">
        <f>SUM(CU718:CY752)</f>
        <v>131</v>
      </c>
      <c r="CV753" s="1462"/>
      <c r="CW753" s="1462"/>
      <c r="CX753" s="1462"/>
      <c r="CY753" s="1462"/>
      <c r="CZ753" s="1462">
        <f>SUM(CZ718:DD752)</f>
        <v>21</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26</v>
      </c>
      <c r="DV753" s="1462"/>
      <c r="DW753" s="1462"/>
      <c r="DX753" s="1462"/>
      <c r="DY753" s="1462"/>
      <c r="DZ753" s="1462">
        <f>SUM(DZ718:ED752)</f>
        <v>0</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3392</v>
      </c>
      <c r="FA753" s="1462"/>
      <c r="FB753" s="1462"/>
      <c r="FC753" s="1462"/>
      <c r="FD753" s="1462"/>
      <c r="FE753" s="1462">
        <f>SUM(FE718:FI752)</f>
        <v>1412</v>
      </c>
      <c r="FF753" s="1462"/>
      <c r="FG753" s="1462"/>
      <c r="FH753" s="1462"/>
      <c r="FI753" s="1462"/>
      <c r="FJ753" s="1462">
        <f>SUM(FJ718:FN752)</f>
        <v>2348</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 customHeight="1">
      <c r="A754"/>
      <c r="B754" s="1621" t="s">
        <v>1891</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1858</v>
      </c>
      <c r="DO754" s="1464">
        <f>CP753+CU753+CZ753+DE753+DJ753+DO753</f>
        <v>249</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97</v>
      </c>
      <c r="CU755" s="3"/>
      <c r="CV755" s="3"/>
      <c r="CW755" s="3"/>
      <c r="CX755" s="3"/>
      <c r="CY755" s="861">
        <f>CU753*1</f>
        <v>131</v>
      </c>
      <c r="CZ755" s="3"/>
      <c r="DA755" s="3"/>
      <c r="DB755" s="3"/>
      <c r="DC755" s="3"/>
      <c r="DD755" s="861">
        <f>CZ753*2</f>
        <v>42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270</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462">
        <f>DU755</f>
        <v>270</v>
      </c>
      <c r="P756" s="1462"/>
      <c r="Q756" s="1462"/>
      <c r="R756" s="1462"/>
      <c r="S756" s="969"/>
      <c r="T756" s="969"/>
      <c r="U756" s="118" t="s">
        <v>1890</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388</v>
      </c>
      <c r="K769" s="1364"/>
      <c r="L769" s="1364"/>
      <c r="M769" s="1364"/>
      <c r="N769" s="1365"/>
      <c r="O769" s="1620" t="s">
        <v>285</v>
      </c>
      <c r="P769" s="1620"/>
      <c r="Q769" s="1620"/>
      <c r="R769" s="1620"/>
      <c r="S769" s="1620"/>
      <c r="T769" s="1720" t="s">
        <v>1677</v>
      </c>
      <c r="U769" s="1721"/>
      <c r="V769" s="1721"/>
      <c r="W769" s="1722"/>
      <c r="X769" s="1363" t="s">
        <v>446</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48" t="str">
        <f>'[1]Data Port'!$D$1013</f>
        <v>2 Bedroom</v>
      </c>
      <c r="K773" s="1338"/>
      <c r="L773" s="1338"/>
      <c r="M773" s="1338"/>
      <c r="N773" s="1339"/>
      <c r="O773" s="1614">
        <f>'[1]Data Port'!$D$1014</f>
        <v>1</v>
      </c>
      <c r="P773" s="1614"/>
      <c r="Q773" s="1614"/>
      <c r="R773" s="1614"/>
      <c r="S773" s="1614"/>
      <c r="T773" s="1343">
        <f>'[1]Data Port'!$D$1015</f>
        <v>850</v>
      </c>
      <c r="U773" s="1344"/>
      <c r="V773" s="1344"/>
      <c r="W773" s="1345"/>
      <c r="X773" s="1340">
        <f>'[1]Data Port'!$D$1016</f>
        <v>1797.9023999999999</v>
      </c>
      <c r="Y773" s="1341"/>
      <c r="Z773" s="1341"/>
      <c r="AA773" s="1341"/>
      <c r="AB773" s="1342"/>
      <c r="AC773" s="1353">
        <f>X773*O773</f>
        <v>1797.9023999999999</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 customHeight="1">
      <c r="J774" s="1348" t="str">
        <f>'[1]Data Port'!$D$1018</f>
        <v>2 Bedroom</v>
      </c>
      <c r="K774" s="1338"/>
      <c r="L774" s="1338"/>
      <c r="M774" s="1338"/>
      <c r="N774" s="1339"/>
      <c r="O774" s="1614">
        <f>'[1]Data Port'!$D$1019</f>
        <v>1</v>
      </c>
      <c r="P774" s="1614"/>
      <c r="Q774" s="1614"/>
      <c r="R774" s="1614"/>
      <c r="S774" s="1614"/>
      <c r="T774" s="1343">
        <f>'[1]Data Port'!$D$1020</f>
        <v>850</v>
      </c>
      <c r="U774" s="1344"/>
      <c r="V774" s="1344"/>
      <c r="W774" s="1345"/>
      <c r="X774" s="1340">
        <f>'[1]Data Port'!$D$1021</f>
        <v>1797.9023999999999</v>
      </c>
      <c r="Y774" s="1341"/>
      <c r="Z774" s="1341"/>
      <c r="AA774" s="1341"/>
      <c r="AB774" s="1342"/>
      <c r="AC774" s="1353">
        <f>X774*O774</f>
        <v>1797.9023999999999</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 customHeight="1">
      <c r="J775" s="1348" t="str">
        <f>'[1]Data Port'!$D$1023</f>
        <v>2 Bedroom</v>
      </c>
      <c r="K775" s="1338"/>
      <c r="L775" s="1338"/>
      <c r="M775" s="1338"/>
      <c r="N775" s="1339"/>
      <c r="O775" s="1614">
        <f>'[1]Data Port'!$D$1024</f>
        <v>0</v>
      </c>
      <c r="P775" s="1614"/>
      <c r="Q775" s="1614"/>
      <c r="R775" s="1614"/>
      <c r="S775" s="1614"/>
      <c r="T775" s="1343">
        <f>'[1]Data Port'!$D$1025</f>
        <v>0</v>
      </c>
      <c r="U775" s="1344"/>
      <c r="V775" s="1344"/>
      <c r="W775" s="1345"/>
      <c r="X775" s="1340">
        <f>'[1]Data Port'!$D$1026</f>
        <v>0</v>
      </c>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 customHeight="1">
      <c r="J776" s="1348" t="str">
        <f>'[1]Data Port'!$D$1028</f>
        <v>2 Bedroom</v>
      </c>
      <c r="K776" s="1338"/>
      <c r="L776" s="1338"/>
      <c r="M776" s="1338"/>
      <c r="N776" s="1339"/>
      <c r="O776" s="1614">
        <f>'[1]Data Port'!$D$1029</f>
        <v>1</v>
      </c>
      <c r="P776" s="1614"/>
      <c r="Q776" s="1614"/>
      <c r="R776" s="1614"/>
      <c r="S776" s="1614"/>
      <c r="T776" s="1343">
        <f>'[1]Data Port'!$D$1030</f>
        <v>850</v>
      </c>
      <c r="U776" s="1344"/>
      <c r="V776" s="1344"/>
      <c r="W776" s="1345"/>
      <c r="X776" s="1340">
        <f>'[1]Data Port'!$D$1031</f>
        <v>1797.9023999999999</v>
      </c>
      <c r="Y776" s="1341"/>
      <c r="Z776" s="1341"/>
      <c r="AA776" s="1341"/>
      <c r="AB776" s="1342"/>
      <c r="AC776" s="1353">
        <f>X776*O776</f>
        <v>1797.9023999999999</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 customHeight="1">
      <c r="J777" s="1450" t="s">
        <v>125</v>
      </c>
      <c r="K777" s="1451"/>
      <c r="L777" s="1451"/>
      <c r="M777" s="1451"/>
      <c r="N777" s="1452"/>
      <c r="O777" s="1470">
        <f>SUM(O773:S776)</f>
        <v>3</v>
      </c>
      <c r="P777" s="1472"/>
      <c r="Q777" s="1472"/>
      <c r="R777" s="1472"/>
      <c r="S777" s="1471"/>
      <c r="X777" s="1450" t="s">
        <v>124</v>
      </c>
      <c r="Y777" s="1451"/>
      <c r="Z777" s="1451"/>
      <c r="AA777" s="1451"/>
      <c r="AB777" s="1452"/>
      <c r="AC777" s="1353">
        <f>SUM(AC773:AG776)</f>
        <v>5393.7071999999998</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0</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 customHeight="1">
      <c r="B779" s="56"/>
      <c r="C779" s="56"/>
      <c r="D779" s="56"/>
      <c r="E779" s="56"/>
      <c r="F779" s="56"/>
      <c r="G779" s="6"/>
      <c r="H779" s="6"/>
      <c r="I779" s="6"/>
      <c r="J779" s="1664" t="s">
        <v>668</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388</v>
      </c>
      <c r="K783" s="1364"/>
      <c r="L783" s="1364"/>
      <c r="M783" s="1364"/>
      <c r="N783" s="1365"/>
      <c r="O783" s="1620" t="s">
        <v>285</v>
      </c>
      <c r="P783" s="1620"/>
      <c r="Q783" s="1620"/>
      <c r="R783" s="1620"/>
      <c r="S783" s="1620"/>
      <c r="T783" s="1720" t="s">
        <v>1677</v>
      </c>
      <c r="U783" s="1721"/>
      <c r="V783" s="1721"/>
      <c r="W783" s="1722"/>
      <c r="X783" s="1363" t="s">
        <v>446</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48"/>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 customHeight="1">
      <c r="A788"/>
      <c r="B788"/>
      <c r="C788"/>
      <c r="D788"/>
      <c r="E788"/>
      <c r="F788"/>
      <c r="G788"/>
      <c r="H788"/>
      <c r="I788"/>
      <c r="J788" s="1348"/>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 customHeight="1">
      <c r="A789"/>
      <c r="B789"/>
      <c r="C789"/>
      <c r="D789"/>
      <c r="E789"/>
      <c r="F789"/>
      <c r="G789"/>
      <c r="H789"/>
      <c r="I789"/>
      <c r="J789" s="1348"/>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 customHeight="1">
      <c r="A790"/>
      <c r="B790"/>
      <c r="C790"/>
      <c r="D790"/>
      <c r="E790"/>
      <c r="F790"/>
      <c r="G790"/>
      <c r="H790"/>
      <c r="I790"/>
      <c r="J790" s="1348"/>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 customHeight="1">
      <c r="A791"/>
      <c r="B791"/>
      <c r="C791"/>
      <c r="D791"/>
      <c r="E791"/>
      <c r="F791"/>
      <c r="G791"/>
      <c r="H791"/>
      <c r="I791"/>
      <c r="J791" s="1348"/>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 customHeight="1">
      <c r="A792"/>
      <c r="B792"/>
      <c r="C792"/>
      <c r="D792"/>
      <c r="E792"/>
      <c r="F792"/>
      <c r="G792"/>
      <c r="H792"/>
      <c r="I792"/>
      <c r="J792" s="1348"/>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 customHeight="1">
      <c r="A793"/>
      <c r="B793"/>
      <c r="C793"/>
      <c r="D793"/>
      <c r="E793"/>
      <c r="F793"/>
      <c r="G793"/>
      <c r="H793"/>
      <c r="I793"/>
      <c r="J793" s="1348"/>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 customHeight="1">
      <c r="A794"/>
      <c r="B794"/>
      <c r="C794"/>
      <c r="D794"/>
      <c r="E794"/>
      <c r="F794"/>
      <c r="G794"/>
      <c r="H794"/>
      <c r="I794"/>
      <c r="J794" s="1348"/>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 customHeight="1">
      <c r="A795"/>
      <c r="B795"/>
      <c r="C795"/>
      <c r="D795"/>
      <c r="E795"/>
      <c r="F795"/>
      <c r="G795"/>
      <c r="H795"/>
      <c r="I795"/>
      <c r="J795" s="1348"/>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 customHeight="1">
      <c r="A796"/>
      <c r="B796"/>
      <c r="C796"/>
      <c r="D796"/>
      <c r="E796"/>
      <c r="F796"/>
      <c r="G796"/>
      <c r="H796"/>
      <c r="I796"/>
      <c r="J796" s="1348"/>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1">
        <f>SUM(DU797:EX797)</f>
        <v>0</v>
      </c>
      <c r="EU799" s="1862"/>
      <c r="EV799" s="1862"/>
      <c r="EW799" s="1862"/>
      <c r="EX799" s="1863"/>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353648.7072</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4243784.4863999998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97</v>
      </c>
      <c r="CQ802" s="1474"/>
      <c r="CR802" s="1474"/>
      <c r="CS802" s="1474"/>
      <c r="CT802" s="1475"/>
      <c r="CU802" s="1473">
        <f>CU753+CU777+CU797</f>
        <v>131</v>
      </c>
      <c r="CV802" s="1474"/>
      <c r="CW802" s="1474"/>
      <c r="CX802" s="1474"/>
      <c r="CY802" s="1475"/>
      <c r="CZ802" s="1473">
        <f>CZ753+CZ777+CZ797</f>
        <v>21</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270</v>
      </c>
      <c r="DV802" s="57" t="s">
        <v>1861</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'[1]Data Port'!$D$1054</f>
        <v>30240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f>'[1]Data Port'!$D$1055</f>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f>'[1]Data Port'!$D$1056</f>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4" t="str">
        <f>'[1]Data Port'!$D$1058</f>
        <v>Parking-Motorcycle parking-Storage-Master Service - Internet</v>
      </c>
      <c r="Q816" s="1595"/>
      <c r="R816" s="1595"/>
      <c r="S816" s="1595"/>
      <c r="T816" s="1595"/>
      <c r="U816" s="1595"/>
      <c r="V816" s="1595"/>
      <c r="W816" s="1595"/>
      <c r="X816" s="1595"/>
      <c r="Y816" s="1596"/>
      <c r="Z816" s="1467">
        <f>'[1]Data Port'!$D$1057</f>
        <v>171170.5263157895</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201410.5263157895</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Z817+Y801+Z809</f>
        <v>4445195.0127157895</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9" t="s">
        <v>40</v>
      </c>
      <c r="D825" s="1359"/>
      <c r="E825" s="1359"/>
      <c r="F825" s="1359"/>
      <c r="G825" s="1359"/>
      <c r="H825" s="1359"/>
      <c r="I825" s="48"/>
      <c r="J825" s="48"/>
      <c r="K825" s="48"/>
      <c r="L825" s="49"/>
      <c r="M825" s="1643">
        <f>'[1]Data Port'!$D$1063</f>
        <v>34</v>
      </c>
      <c r="N825" s="1643"/>
      <c r="O825" s="1643"/>
      <c r="P825" s="1643"/>
      <c r="Q825" s="1643">
        <f>'[1]Data Port'!$D$1072</f>
        <v>40</v>
      </c>
      <c r="R825" s="1643"/>
      <c r="S825" s="1643"/>
      <c r="T825" s="1643"/>
      <c r="U825" s="1643">
        <f>'[1]Data Port'!$D$1081</f>
        <v>49</v>
      </c>
      <c r="V825" s="1643"/>
      <c r="W825" s="1643"/>
      <c r="X825" s="1643"/>
      <c r="Y825" s="1643">
        <f>'[1]Data Port'!$D$1090</f>
        <v>0</v>
      </c>
      <c r="Z825" s="1643"/>
      <c r="AA825" s="1643"/>
      <c r="AB825" s="1643"/>
      <c r="AC825" s="1476">
        <f>'[1]Data Port'!$D$1099</f>
        <v>0</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6" t="s">
        <v>41</v>
      </c>
      <c r="D826" s="1627"/>
      <c r="E826" s="1627"/>
      <c r="F826" s="1627"/>
      <c r="G826" s="1627"/>
      <c r="H826" s="1627"/>
      <c r="I826" s="5"/>
      <c r="J826" s="5"/>
      <c r="K826" s="5"/>
      <c r="L826" s="46"/>
      <c r="M826" s="1643">
        <f>'[1]Data Port'!$D$1064</f>
        <v>32</v>
      </c>
      <c r="N826" s="1643"/>
      <c r="O826" s="1643"/>
      <c r="P826" s="1643"/>
      <c r="Q826" s="1643">
        <f>'[1]Data Port'!$D$1073</f>
        <v>38</v>
      </c>
      <c r="R826" s="1643"/>
      <c r="S826" s="1643"/>
      <c r="T826" s="1643"/>
      <c r="U826" s="1643">
        <f>'[1]Data Port'!$D$1082</f>
        <v>57</v>
      </c>
      <c r="V826" s="1643"/>
      <c r="W826" s="1643"/>
      <c r="X826" s="1643"/>
      <c r="Y826" s="1643">
        <f>'[1]Data Port'!$D$1091</f>
        <v>0</v>
      </c>
      <c r="Z826" s="1643"/>
      <c r="AA826" s="1643"/>
      <c r="AB826" s="1643"/>
      <c r="AC826" s="1476">
        <f>'[1]Data Port'!$D$1100</f>
        <v>0</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6" t="s">
        <v>42</v>
      </c>
      <c r="D827" s="1627"/>
      <c r="E827" s="1627"/>
      <c r="F827" s="1627"/>
      <c r="G827" s="1627"/>
      <c r="H827" s="1627"/>
      <c r="I827" s="60"/>
      <c r="J827" s="60"/>
      <c r="K827" s="60"/>
      <c r="L827" s="61"/>
      <c r="M827" s="1643">
        <f>'[1]Data Port'!$D$1065</f>
        <v>27</v>
      </c>
      <c r="N827" s="1643"/>
      <c r="O827" s="1643"/>
      <c r="P827" s="1643"/>
      <c r="Q827" s="1643">
        <f>'[1]Data Port'!$D$1074</f>
        <v>34</v>
      </c>
      <c r="R827" s="1643"/>
      <c r="S827" s="1643"/>
      <c r="T827" s="1643"/>
      <c r="U827" s="1643">
        <f>'[1]Data Port'!$D$1083</f>
        <v>46</v>
      </c>
      <c r="V827" s="1643"/>
      <c r="W827" s="1643"/>
      <c r="X827" s="1643"/>
      <c r="Y827" s="1643">
        <f>'[1]Data Port'!$D$1092</f>
        <v>0</v>
      </c>
      <c r="Z827" s="1643"/>
      <c r="AA827" s="1643"/>
      <c r="AB827" s="1643"/>
      <c r="AC827" s="1476">
        <f>'[1]Data Port'!$D$1101</f>
        <v>0</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6" t="s">
        <v>761</v>
      </c>
      <c r="D828" s="1627"/>
      <c r="E828" s="1627"/>
      <c r="F828" s="1627"/>
      <c r="G828" s="1627"/>
      <c r="H828" s="1627"/>
      <c r="I828" s="60"/>
      <c r="J828" s="60"/>
      <c r="K828" s="60"/>
      <c r="L828" s="61"/>
      <c r="M828" s="1643">
        <f>'[1]Data Port'!$D$1066</f>
        <v>8</v>
      </c>
      <c r="N828" s="1643"/>
      <c r="O828" s="1643"/>
      <c r="P828" s="1643"/>
      <c r="Q828" s="1643">
        <f>'[1]Data Port'!$D$1075</f>
        <v>10</v>
      </c>
      <c r="R828" s="1643"/>
      <c r="S828" s="1643"/>
      <c r="T828" s="1643"/>
      <c r="U828" s="1643">
        <f>'[1]Data Port'!$D$1084</f>
        <v>18</v>
      </c>
      <c r="V828" s="1643"/>
      <c r="W828" s="1643"/>
      <c r="X828" s="1643"/>
      <c r="Y828" s="1643">
        <f>'[1]Data Port'!$D$1093</f>
        <v>0</v>
      </c>
      <c r="Z828" s="1643"/>
      <c r="AA828" s="1643"/>
      <c r="AB828" s="1643"/>
      <c r="AC828" s="1476">
        <f>'[1]Data Port'!$D$1102</f>
        <v>0</v>
      </c>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6" t="s">
        <v>458</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0" t="s">
        <v>124</v>
      </c>
      <c r="D832" s="1451"/>
      <c r="E832" s="1451"/>
      <c r="F832" s="1451"/>
      <c r="G832" s="1451"/>
      <c r="H832" s="1451"/>
      <c r="I832" s="1451"/>
      <c r="J832" s="1451"/>
      <c r="K832" s="1451"/>
      <c r="L832" s="1452"/>
      <c r="M832" s="1637">
        <f>SUM(M825:P831)</f>
        <v>101</v>
      </c>
      <c r="N832" s="1637"/>
      <c r="O832" s="1637"/>
      <c r="P832" s="1637"/>
      <c r="Q832" s="1637">
        <f>SUM(Q825:T831)</f>
        <v>122</v>
      </c>
      <c r="R832" s="1637"/>
      <c r="S832" s="1637"/>
      <c r="T832" s="1637"/>
      <c r="U832" s="1637">
        <f>SUM(U825:X831)</f>
        <v>170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t="str">
        <f>'[1]Data Port'!$D$1107</f>
        <v>Oakland Housing Authority</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2">
        <f>'[1]Data Port'!$G$1109</f>
        <v>3500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2">
        <f>'[1]Data Port'!$G$1110</f>
        <v>1500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2">
        <f>'[1]Data Port'!$G$1111</f>
        <v>20000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2">
        <f>'[1]Data Port'!$G$1112</f>
        <v>75000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 customHeight="1">
      <c r="J846" s="45" t="s">
        <v>170</v>
      </c>
      <c r="K846" s="5"/>
      <c r="L846" s="5"/>
      <c r="M846" s="1594" t="str">
        <f>'[1]Data Port'!$B$1113</f>
        <v>Other: Misc. Admin (Phone, Cable, Credit and Bank Checks)</v>
      </c>
      <c r="N846" s="1595"/>
      <c r="O846" s="1595"/>
      <c r="P846" s="1595"/>
      <c r="Q846" s="1595"/>
      <c r="R846" s="1595"/>
      <c r="S846" s="1595"/>
      <c r="T846" s="1595"/>
      <c r="U846" s="1595"/>
      <c r="V846" s="1596"/>
      <c r="W846" s="1482">
        <f>'[1]Data Port'!$G$1113</f>
        <v>5000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6">
        <f>SUM(W842:W846)</f>
        <v>105000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9"/>
      <c r="BH848" s="1629"/>
      <c r="BI848" s="1629"/>
      <c r="BJ848" s="1629"/>
      <c r="BK848" s="1629"/>
      <c r="BL848" s="1629"/>
    </row>
    <row r="849" spans="3:55" ht="12.9" customHeight="1">
      <c r="C849" s="2" t="s">
        <v>344</v>
      </c>
      <c r="J849" s="1450" t="s">
        <v>345</v>
      </c>
      <c r="K849" s="1451"/>
      <c r="L849" s="1451"/>
      <c r="M849" s="1451"/>
      <c r="N849" s="1451"/>
      <c r="O849" s="1451"/>
      <c r="P849" s="1451"/>
      <c r="Q849" s="1451"/>
      <c r="R849" s="1451"/>
      <c r="S849" s="1451"/>
      <c r="T849" s="1451"/>
      <c r="U849" s="1451"/>
      <c r="V849" s="1452"/>
      <c r="W849" s="1467">
        <f>'[1]Data Port'!$G$1115</f>
        <v>168935</v>
      </c>
      <c r="X849" s="1468"/>
      <c r="Y849" s="1468"/>
      <c r="Z849" s="1468"/>
      <c r="AA849" s="1468"/>
      <c r="AB849" s="1468"/>
      <c r="AC849" s="1469"/>
      <c r="AD849" s="533"/>
      <c r="AZ849" s="30"/>
      <c r="BA849" s="30"/>
      <c r="BB849" s="14"/>
      <c r="BC849" s="14"/>
    </row>
    <row r="850" spans="3:55" ht="12.9" customHeight="1">
      <c r="AD850" s="533"/>
      <c r="AZ850" s="30"/>
      <c r="BA850" s="30"/>
      <c r="BB850" s="14"/>
      <c r="BC850" s="14"/>
    </row>
    <row r="851" spans="3:55" ht="12.9" customHeight="1">
      <c r="C851" s="2" t="s">
        <v>560</v>
      </c>
      <c r="J851" s="45" t="s">
        <v>352</v>
      </c>
      <c r="K851" s="5"/>
      <c r="L851" s="5"/>
      <c r="M851" s="5"/>
      <c r="N851" s="5"/>
      <c r="O851" s="5"/>
      <c r="P851" s="5"/>
      <c r="Q851" s="5"/>
      <c r="R851" s="5"/>
      <c r="S851" s="5"/>
      <c r="T851" s="5"/>
      <c r="U851" s="5"/>
      <c r="V851" s="46"/>
      <c r="W851" s="1652">
        <f>'[1]Data Port'!$G$1117</f>
        <v>6048</v>
      </c>
      <c r="X851" s="1652"/>
      <c r="Y851" s="1652"/>
      <c r="Z851" s="1652"/>
      <c r="AA851" s="1652"/>
      <c r="AB851" s="1652"/>
      <c r="AC851" s="1652"/>
      <c r="AZ851" s="1719"/>
      <c r="BA851" s="1719"/>
      <c r="BB851" s="14"/>
      <c r="BC851" s="14"/>
    </row>
    <row r="852" spans="3:55" ht="12.9" customHeight="1">
      <c r="J852" s="45" t="s">
        <v>351</v>
      </c>
      <c r="K852" s="5"/>
      <c r="L852" s="5"/>
      <c r="M852" s="5"/>
      <c r="N852" s="5"/>
      <c r="O852" s="5"/>
      <c r="P852" s="5"/>
      <c r="Q852" s="5"/>
      <c r="R852" s="5"/>
      <c r="S852" s="5"/>
      <c r="T852" s="5"/>
      <c r="U852" s="5"/>
      <c r="V852" s="46"/>
      <c r="W852" s="1652">
        <f>'[1]Data Port'!$G$1118</f>
        <v>0</v>
      </c>
      <c r="X852" s="1652"/>
      <c r="Y852" s="1652"/>
      <c r="Z852" s="1652"/>
      <c r="AA852" s="1652"/>
      <c r="AB852" s="1652"/>
      <c r="AC852" s="1652"/>
      <c r="AZ852" s="30"/>
      <c r="BA852" s="30"/>
      <c r="BB852" s="14"/>
      <c r="BC852" s="14"/>
    </row>
    <row r="853" spans="3:55" ht="12.9" customHeight="1">
      <c r="J853" s="45" t="s">
        <v>458</v>
      </c>
      <c r="K853" s="5"/>
      <c r="L853" s="5"/>
      <c r="M853" s="5"/>
      <c r="N853" s="5"/>
      <c r="O853" s="5"/>
      <c r="P853" s="5"/>
      <c r="Q853" s="5"/>
      <c r="R853" s="5"/>
      <c r="S853" s="5"/>
      <c r="T853" s="5"/>
      <c r="U853" s="5"/>
      <c r="V853" s="46"/>
      <c r="W853" s="1652">
        <f>'[1]Data Port'!$G$1119</f>
        <v>90720</v>
      </c>
      <c r="X853" s="1652"/>
      <c r="Y853" s="1652"/>
      <c r="Z853" s="1652"/>
      <c r="AA853" s="1652"/>
      <c r="AB853" s="1652"/>
      <c r="AC853" s="1652"/>
      <c r="AZ853" s="30"/>
      <c r="BA853" s="30"/>
      <c r="BB853" s="14"/>
      <c r="BC853" s="14"/>
    </row>
    <row r="854" spans="3:55" ht="12.9" customHeight="1">
      <c r="J854" s="62" t="s">
        <v>619</v>
      </c>
      <c r="K854" s="5"/>
      <c r="L854" s="5"/>
      <c r="M854" s="5"/>
      <c r="N854" s="5"/>
      <c r="O854" s="5"/>
      <c r="P854" s="5"/>
      <c r="Q854" s="5"/>
      <c r="R854" s="5"/>
      <c r="S854" s="5"/>
      <c r="T854" s="5"/>
      <c r="U854" s="5"/>
      <c r="V854" s="46"/>
      <c r="W854" s="1652">
        <f>'[1]Data Port'!$G$1120</f>
        <v>151200</v>
      </c>
      <c r="X854" s="1652"/>
      <c r="Y854" s="1652"/>
      <c r="Z854" s="1652"/>
      <c r="AA854" s="1652"/>
      <c r="AB854" s="1652"/>
      <c r="AC854" s="1652"/>
      <c r="AZ854" s="34"/>
      <c r="BA854" s="34"/>
      <c r="BB854" s="34"/>
      <c r="BC854" s="34"/>
    </row>
    <row r="855" spans="3:55" ht="12.9" customHeight="1">
      <c r="J855" s="63"/>
      <c r="K855" s="48"/>
      <c r="L855" s="48"/>
      <c r="M855" s="48"/>
      <c r="N855" s="48"/>
      <c r="O855" s="48"/>
      <c r="P855" s="48"/>
      <c r="Q855" s="48"/>
      <c r="R855" s="48"/>
      <c r="S855" s="48"/>
      <c r="T855" s="48"/>
      <c r="U855" s="48"/>
      <c r="V855" s="54" t="s">
        <v>272</v>
      </c>
      <c r="W855" s="1706">
        <f>SUM(W851:W854)</f>
        <v>247968</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346</v>
      </c>
      <c r="J857" s="45" t="s">
        <v>618</v>
      </c>
      <c r="K857" s="5"/>
      <c r="L857" s="5"/>
      <c r="M857" s="5"/>
      <c r="N857" s="5"/>
      <c r="O857" s="5"/>
      <c r="P857" s="5"/>
      <c r="Q857" s="5"/>
      <c r="R857" s="5"/>
      <c r="S857" s="5"/>
      <c r="T857" s="5"/>
      <c r="U857" s="5"/>
      <c r="V857" s="46"/>
      <c r="W857" s="1631">
        <f>'[1]Data Port'!$G$1123</f>
        <v>236985</v>
      </c>
      <c r="X857" s="1632"/>
      <c r="Y857" s="1632"/>
      <c r="Z857" s="1632"/>
      <c r="AA857" s="1632"/>
      <c r="AB857" s="1632"/>
      <c r="AC857" s="1633"/>
      <c r="AD857" s="528"/>
      <c r="AZ857" s="34"/>
      <c r="BA857" s="34"/>
      <c r="BB857" s="34"/>
      <c r="BC857" s="34"/>
    </row>
    <row r="858" spans="3:55" ht="12.9" customHeight="1">
      <c r="C858" s="2" t="s">
        <v>347</v>
      </c>
      <c r="J858" s="121" t="s">
        <v>1653</v>
      </c>
      <c r="K858" s="5"/>
      <c r="L858" s="5"/>
      <c r="M858" s="5"/>
      <c r="N858" s="5"/>
      <c r="O858" s="5"/>
      <c r="P858" s="5"/>
      <c r="Q858" s="5"/>
      <c r="R858" s="5"/>
      <c r="S858" s="5"/>
      <c r="T858" s="1710">
        <f>'[1]Data Port'!$G$1124</f>
        <v>2</v>
      </c>
      <c r="U858" s="1697"/>
      <c r="V858" s="1711"/>
      <c r="W858" s="874"/>
      <c r="X858" s="875"/>
      <c r="Y858" s="875"/>
      <c r="Z858" s="875"/>
      <c r="AA858" s="875"/>
      <c r="AB858" s="875"/>
      <c r="AC858" s="876"/>
      <c r="AD858" s="528"/>
      <c r="AZ858" s="34"/>
      <c r="BA858" s="34"/>
      <c r="BB858" s="34"/>
      <c r="BC858" s="34"/>
    </row>
    <row r="859" spans="3:55" ht="12.9" customHeight="1">
      <c r="C859" s="2"/>
      <c r="J859" s="45" t="s">
        <v>617</v>
      </c>
      <c r="K859" s="5"/>
      <c r="L859" s="5"/>
      <c r="M859" s="5"/>
      <c r="N859" s="5"/>
      <c r="O859" s="5"/>
      <c r="P859" s="5"/>
      <c r="Q859" s="5"/>
      <c r="R859" s="5"/>
      <c r="S859" s="5"/>
      <c r="T859" s="5"/>
      <c r="U859" s="5"/>
      <c r="V859" s="46"/>
      <c r="W859" s="1631">
        <f>'[1]Data Port'!$G$1125</f>
        <v>122850</v>
      </c>
      <c r="X859" s="1632"/>
      <c r="Y859" s="1632"/>
      <c r="Z859" s="1632"/>
      <c r="AA859" s="1632"/>
      <c r="AB859" s="1632"/>
      <c r="AC859" s="1633"/>
      <c r="AD859" s="533"/>
      <c r="AZ859" s="34"/>
      <c r="BA859" s="34"/>
      <c r="BB859" s="34"/>
      <c r="BC859" s="34"/>
    </row>
    <row r="860" spans="3:55" ht="12.9" customHeight="1">
      <c r="C860" s="2"/>
      <c r="J860" s="121" t="s">
        <v>1654</v>
      </c>
      <c r="K860" s="5"/>
      <c r="L860" s="5"/>
      <c r="M860" s="5"/>
      <c r="N860" s="5"/>
      <c r="O860" s="5"/>
      <c r="P860" s="5"/>
      <c r="Q860" s="5"/>
      <c r="R860" s="5"/>
      <c r="S860" s="5"/>
      <c r="T860" s="1710">
        <f>'[1]Data Port'!$G$1126</f>
        <v>1</v>
      </c>
      <c r="U860" s="1697"/>
      <c r="V860" s="1711"/>
      <c r="W860" s="874"/>
      <c r="X860" s="875"/>
      <c r="Y860" s="875"/>
      <c r="Z860" s="875"/>
      <c r="AA860" s="875"/>
      <c r="AB860" s="875"/>
      <c r="AC860" s="876"/>
      <c r="AD860" s="533"/>
      <c r="AZ860" s="34"/>
      <c r="BA860" s="34"/>
      <c r="BB860" s="34"/>
      <c r="BC860" s="34"/>
    </row>
    <row r="861" spans="3:55" ht="12.9" customHeight="1">
      <c r="J861" s="45" t="s">
        <v>170</v>
      </c>
      <c r="K861" s="5"/>
      <c r="L861" s="5"/>
      <c r="M861" s="1594" t="str">
        <f>'[1]Data Port'!$B$1127</f>
        <v>Leasing specialist and commisions-Payroll Taxes/Benefit</v>
      </c>
      <c r="N861" s="1595"/>
      <c r="O861" s="1595"/>
      <c r="P861" s="1595"/>
      <c r="Q861" s="1595"/>
      <c r="R861" s="1595"/>
      <c r="S861" s="1595"/>
      <c r="T861" s="1595"/>
      <c r="U861" s="1595"/>
      <c r="V861" s="1596"/>
      <c r="W861" s="1631">
        <f>'[1]Data Port'!$G$1128</f>
        <v>68000</v>
      </c>
      <c r="X861" s="1632"/>
      <c r="Y861" s="1632"/>
      <c r="Z861" s="1632"/>
      <c r="AA861" s="1632"/>
      <c r="AB861" s="1632"/>
      <c r="AC861" s="1633"/>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12">
        <f>SUM(W857:W861)</f>
        <v>427835</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31">
        <f>'[1]Data Port'!$G$1129</f>
        <v>226800</v>
      </c>
      <c r="X863" s="1632"/>
      <c r="Y863" s="1632"/>
      <c r="Z863" s="1632"/>
      <c r="AA863" s="1632"/>
      <c r="AB863" s="1632"/>
      <c r="AC863" s="1633"/>
      <c r="AU863" s="14"/>
      <c r="AZ863" s="34"/>
      <c r="BA863" s="34"/>
      <c r="BB863" s="34"/>
      <c r="BC863" s="34"/>
    </row>
    <row r="864" spans="3:55" ht="12.9" customHeight="1">
      <c r="J864" s="512"/>
      <c r="AU864" s="14"/>
      <c r="AZ864" s="34"/>
      <c r="BA864" s="34"/>
      <c r="BB864" s="34"/>
      <c r="BC864" s="34"/>
    </row>
    <row r="865" spans="3:55" ht="12.9" customHeight="1">
      <c r="C865" s="2" t="s">
        <v>389</v>
      </c>
      <c r="J865" s="45" t="s">
        <v>616</v>
      </c>
      <c r="K865" s="5"/>
      <c r="L865" s="5"/>
      <c r="M865" s="5"/>
      <c r="N865" s="5"/>
      <c r="O865" s="5"/>
      <c r="P865" s="5"/>
      <c r="Q865" s="5"/>
      <c r="R865" s="5"/>
      <c r="S865" s="5"/>
      <c r="T865" s="5"/>
      <c r="U865" s="5"/>
      <c r="V865" s="46"/>
      <c r="W865" s="1482">
        <f>'[1]Data Port'!$G$1131</f>
        <v>4000</v>
      </c>
      <c r="X865" s="1482"/>
      <c r="Y865" s="1482"/>
      <c r="Z865" s="1482"/>
      <c r="AA865" s="1482"/>
      <c r="AB865" s="1482"/>
      <c r="AC865" s="1482"/>
      <c r="AU865" s="14"/>
      <c r="AZ865" s="34"/>
      <c r="BA865" s="34"/>
      <c r="BB865" s="34"/>
      <c r="BC865" s="34"/>
    </row>
    <row r="866" spans="3:55" ht="12.9" customHeight="1">
      <c r="J866" s="45" t="s">
        <v>521</v>
      </c>
      <c r="K866" s="5"/>
      <c r="L866" s="5"/>
      <c r="M866" s="5"/>
      <c r="N866" s="5"/>
      <c r="O866" s="5"/>
      <c r="P866" s="5"/>
      <c r="Q866" s="5"/>
      <c r="R866" s="5"/>
      <c r="S866" s="5"/>
      <c r="T866" s="5"/>
      <c r="U866" s="5"/>
      <c r="V866" s="46"/>
      <c r="W866" s="1482">
        <f>'[1]Data Port'!$G$1132</f>
        <v>89964</v>
      </c>
      <c r="X866" s="1482"/>
      <c r="Y866" s="1482"/>
      <c r="Z866" s="1482"/>
      <c r="AA866" s="1482"/>
      <c r="AB866" s="1482"/>
      <c r="AC866" s="1482"/>
      <c r="AU866" s="4"/>
      <c r="AZ866" s="34"/>
      <c r="BA866" s="34"/>
      <c r="BB866" s="34"/>
      <c r="BC866" s="34"/>
    </row>
    <row r="867" spans="3:55" ht="12.9" customHeight="1">
      <c r="J867" s="45" t="s">
        <v>520</v>
      </c>
      <c r="K867" s="5"/>
      <c r="L867" s="5"/>
      <c r="M867" s="5"/>
      <c r="N867" s="5"/>
      <c r="O867" s="5"/>
      <c r="P867" s="5"/>
      <c r="Q867" s="5"/>
      <c r="R867" s="5"/>
      <c r="S867" s="5"/>
      <c r="T867" s="5"/>
      <c r="U867" s="5"/>
      <c r="V867" s="46"/>
      <c r="W867" s="1482">
        <f>'[1]Data Port'!$G$1133+'[1]Data Port'!$G$1121</f>
        <v>143640</v>
      </c>
      <c r="X867" s="1482"/>
      <c r="Y867" s="1482"/>
      <c r="Z867" s="1482"/>
      <c r="AA867" s="1482"/>
      <c r="AB867" s="1482"/>
      <c r="AC867" s="1482"/>
      <c r="AU867" s="4"/>
      <c r="AZ867" s="34"/>
      <c r="BA867" s="34"/>
      <c r="BB867" s="34"/>
      <c r="BC867" s="34"/>
    </row>
    <row r="868" spans="3:55" ht="12.9" customHeight="1">
      <c r="J868" s="45" t="s">
        <v>519</v>
      </c>
      <c r="K868" s="5"/>
      <c r="L868" s="5"/>
      <c r="M868" s="5"/>
      <c r="N868" s="5"/>
      <c r="O868" s="5"/>
      <c r="P868" s="5"/>
      <c r="Q868" s="5"/>
      <c r="R868" s="5"/>
      <c r="S868" s="5"/>
      <c r="T868" s="5"/>
      <c r="U868" s="5"/>
      <c r="V868" s="46"/>
      <c r="W868" s="1482">
        <f>'[1]Data Port'!$G$1134</f>
        <v>2500</v>
      </c>
      <c r="X868" s="1482"/>
      <c r="Y868" s="1482"/>
      <c r="Z868" s="1482"/>
      <c r="AA868" s="1482"/>
      <c r="AB868" s="1482"/>
      <c r="AC868" s="1482"/>
      <c r="AU868" s="4"/>
      <c r="AZ868" s="34"/>
      <c r="BA868" s="34"/>
      <c r="BB868" s="34"/>
      <c r="BC868" s="34"/>
    </row>
    <row r="869" spans="3:55" ht="12.9" customHeight="1">
      <c r="J869" s="45" t="s">
        <v>518</v>
      </c>
      <c r="K869" s="5"/>
      <c r="L869" s="5"/>
      <c r="M869" s="5"/>
      <c r="N869" s="5"/>
      <c r="O869" s="5"/>
      <c r="P869" s="5"/>
      <c r="Q869" s="5"/>
      <c r="R869" s="5"/>
      <c r="S869" s="5"/>
      <c r="T869" s="5"/>
      <c r="U869" s="5"/>
      <c r="V869" s="46"/>
      <c r="W869" s="1482">
        <f>'[1]Data Port'!$G$1135</f>
        <v>5250</v>
      </c>
      <c r="X869" s="1482"/>
      <c r="Y869" s="1482"/>
      <c r="Z869" s="1482"/>
      <c r="AA869" s="1482"/>
      <c r="AB869" s="1482"/>
      <c r="AC869" s="1482"/>
      <c r="AU869" s="4"/>
      <c r="AZ869" s="34"/>
      <c r="BA869" s="34"/>
      <c r="BB869" s="34"/>
      <c r="BC869" s="34"/>
    </row>
    <row r="870" spans="3:55" ht="12.9" customHeight="1">
      <c r="J870" s="45" t="s">
        <v>517</v>
      </c>
      <c r="K870" s="5"/>
      <c r="L870" s="5"/>
      <c r="M870" s="5"/>
      <c r="N870" s="5"/>
      <c r="O870" s="5"/>
      <c r="P870" s="5"/>
      <c r="Q870" s="5"/>
      <c r="R870" s="5"/>
      <c r="S870" s="5"/>
      <c r="T870" s="5"/>
      <c r="U870" s="5"/>
      <c r="V870" s="46"/>
      <c r="W870" s="1482">
        <f>'[1]Data Port'!$G$1136</f>
        <v>6000</v>
      </c>
      <c r="X870" s="1482"/>
      <c r="Y870" s="1482"/>
      <c r="Z870" s="1482"/>
      <c r="AA870" s="1482"/>
      <c r="AB870" s="1482"/>
      <c r="AC870" s="1482"/>
      <c r="AU870" s="4"/>
      <c r="AZ870" s="34"/>
      <c r="BA870" s="34"/>
      <c r="BB870" s="34"/>
      <c r="BC870" s="34"/>
    </row>
    <row r="871" spans="3:55" ht="12.9" customHeight="1">
      <c r="J871" s="45" t="s">
        <v>170</v>
      </c>
      <c r="K871" s="5"/>
      <c r="L871" s="5"/>
      <c r="M871" s="1594" t="str">
        <f>'[1]Data Port'!$B$1137</f>
        <v>Contracts-Cleaning-Supplies, Fire Protection, Uniforms, Janitorial Services</v>
      </c>
      <c r="N871" s="1595"/>
      <c r="O871" s="1595"/>
      <c r="P871" s="1595"/>
      <c r="Q871" s="1595"/>
      <c r="R871" s="1595"/>
      <c r="S871" s="1595"/>
      <c r="T871" s="1595"/>
      <c r="U871" s="1595"/>
      <c r="V871" s="1596"/>
      <c r="W871" s="1482">
        <f>'[1]Data Port'!$G$1137</f>
        <v>41056</v>
      </c>
      <c r="X871" s="1482"/>
      <c r="Y871" s="1482"/>
      <c r="Z871" s="1482"/>
      <c r="AA871" s="1482"/>
      <c r="AB871" s="1482"/>
      <c r="AC871" s="148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4">
        <f>SUM(W865:W871)</f>
        <v>292410</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1241</v>
      </c>
      <c r="J874" s="45" t="s">
        <v>170</v>
      </c>
      <c r="K874" s="5"/>
      <c r="L874" s="5"/>
      <c r="M874" s="1594" t="str">
        <f>'[1]Data Port'!$G$1139</f>
        <v>Special Assessments</v>
      </c>
      <c r="N874" s="1595"/>
      <c r="O874" s="1595"/>
      <c r="P874" s="1595"/>
      <c r="Q874" s="1595"/>
      <c r="R874" s="1595"/>
      <c r="S874" s="1595"/>
      <c r="T874" s="1595"/>
      <c r="U874" s="1595"/>
      <c r="V874" s="1596"/>
      <c r="W874" s="1467">
        <f>'[1]Data Port'!$G$1140</f>
        <v>0</v>
      </c>
      <c r="X874" s="1468"/>
      <c r="Y874" s="1468"/>
      <c r="Z874" s="1468"/>
      <c r="AA874" s="1468"/>
      <c r="AB874" s="1468"/>
      <c r="AC874" s="1469"/>
      <c r="AD874" s="533"/>
      <c r="AV874" s="14"/>
      <c r="AW874" s="14"/>
      <c r="AX874" s="14"/>
      <c r="AY874" s="14"/>
      <c r="AZ874" s="34"/>
      <c r="BA874" s="34"/>
      <c r="BB874" s="34"/>
      <c r="BC874" s="34"/>
    </row>
    <row r="875" spans="3:55" ht="12.9" customHeight="1">
      <c r="C875" s="2" t="s">
        <v>1242</v>
      </c>
      <c r="J875" s="45" t="s">
        <v>170</v>
      </c>
      <c r="K875" s="5"/>
      <c r="L875" s="5"/>
      <c r="M875" s="1594" t="str">
        <f>'[1]Data Port'!$G$1141</f>
        <v>Misc. Tax/License</v>
      </c>
      <c r="N875" s="1595"/>
      <c r="O875" s="1595"/>
      <c r="P875" s="1595"/>
      <c r="Q875" s="1595"/>
      <c r="R875" s="1595"/>
      <c r="S875" s="1595"/>
      <c r="T875" s="1595"/>
      <c r="U875" s="1595"/>
      <c r="V875" s="1596"/>
      <c r="W875" s="1467">
        <f>'[1]Data Port'!$G$1142</f>
        <v>0</v>
      </c>
      <c r="X875" s="1468"/>
      <c r="Y875" s="1468"/>
      <c r="Z875" s="1468"/>
      <c r="AA875" s="1468"/>
      <c r="AB875" s="1468"/>
      <c r="AC875" s="1469"/>
      <c r="AD875" s="533"/>
      <c r="AV875" s="14"/>
      <c r="AW875" s="14"/>
      <c r="AX875" s="14"/>
      <c r="AY875" s="14"/>
      <c r="AZ875" s="34"/>
      <c r="BA875" s="34"/>
      <c r="BB875" s="34"/>
      <c r="BC875" s="34"/>
    </row>
    <row r="876" spans="3:55" ht="12.9" customHeight="1">
      <c r="J876" s="45" t="s">
        <v>170</v>
      </c>
      <c r="K876" s="5"/>
      <c r="L876" s="5"/>
      <c r="M876" s="1594" t="str">
        <f>'[1]Data Port'!$G$1143</f>
        <v>Business Tax</v>
      </c>
      <c r="N876" s="1595"/>
      <c r="O876" s="1595"/>
      <c r="P876" s="1595"/>
      <c r="Q876" s="1595"/>
      <c r="R876" s="1595"/>
      <c r="S876" s="1595"/>
      <c r="T876" s="1595"/>
      <c r="U876" s="1595"/>
      <c r="V876" s="1596"/>
      <c r="W876" s="1467">
        <f>'[1]Data Port'!$G$1144</f>
        <v>0</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4" t="str">
        <f>'[1]Data Port'!$G$1145</f>
        <v>Internet</v>
      </c>
      <c r="N877" s="1595"/>
      <c r="O877" s="1595"/>
      <c r="P877" s="1595"/>
      <c r="Q877" s="1595"/>
      <c r="R877" s="1595"/>
      <c r="S877" s="1595"/>
      <c r="T877" s="1595"/>
      <c r="U877" s="1595"/>
      <c r="V877" s="1596"/>
      <c r="W877" s="1467">
        <f>'[1]Data Port'!$G$1146</f>
        <v>60480</v>
      </c>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4" t="str">
        <f>'[1]Data Port'!$G$1147</f>
        <v>Other</v>
      </c>
      <c r="N878" s="1595"/>
      <c r="O878" s="1595"/>
      <c r="P878" s="1595"/>
      <c r="Q878" s="1595"/>
      <c r="R878" s="1595"/>
      <c r="S878" s="1595"/>
      <c r="T878" s="1595"/>
      <c r="U878" s="1595"/>
      <c r="V878" s="1596"/>
      <c r="W878" s="1467">
        <f>'[1]Data Port'!$G$1148</f>
        <v>0</v>
      </c>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6">
        <f>SUM(W874:W878)</f>
        <v>60480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1529428</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O797+O777+G753</f>
        <v>252</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6069</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f>'[1]Data Port'!$G$1150</f>
        <v>945208</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69">
        <f>'[1]Data Port'!$G$1151</f>
        <v>0</v>
      </c>
      <c r="AD887" s="1482"/>
      <c r="AE887" s="1482"/>
      <c r="AF887" s="1482"/>
      <c r="AG887" s="1482"/>
      <c r="AH887" s="148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8">
        <f>'[1]Data Port'!$G$1152</f>
        <v>24900</v>
      </c>
      <c r="AD888" s="1468"/>
      <c r="AE888" s="1468"/>
      <c r="AF888" s="1468"/>
      <c r="AG888" s="1468"/>
      <c r="AH888" s="146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'[1]Data Port'!$G$1153</f>
        <v>63000</v>
      </c>
      <c r="AD889" s="1468"/>
      <c r="AE889" s="1468"/>
      <c r="AF889" s="1468"/>
      <c r="AG889" s="1468"/>
      <c r="AH889" s="146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6">
        <f>'[1]Data Port'!$G$1154</f>
        <v>11344.44</v>
      </c>
      <c r="AD890" s="1477"/>
      <c r="AE890" s="1477"/>
      <c r="AF890" s="1477"/>
      <c r="AG890" s="1477"/>
      <c r="AH890" s="1478"/>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f>'[1]Data Port'!$G$1155</f>
        <v>5587.56</v>
      </c>
      <c r="AD891" s="1468"/>
      <c r="AE891" s="1468"/>
      <c r="AF891" s="1468"/>
      <c r="AG891" s="1468"/>
      <c r="AH891" s="1469"/>
      <c r="AZ891" s="34"/>
      <c r="BA891" s="34"/>
      <c r="BB891" s="34"/>
      <c r="BC891" s="34"/>
    </row>
    <row r="892" spans="3:55" ht="12.9" hidden="1" customHeight="1">
      <c r="C892" s="1450" t="s">
        <v>2229</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8">
        <f>'[1]Data Port'!$G$1156</f>
        <v>0</v>
      </c>
      <c r="AD893" s="1468"/>
      <c r="AE893" s="1468"/>
      <c r="AF893" s="1468"/>
      <c r="AG893" s="1468"/>
      <c r="AH893" s="1469"/>
      <c r="AZ893" s="34"/>
      <c r="BA893" s="34"/>
      <c r="BB893" s="34"/>
      <c r="BC893" s="34"/>
    </row>
    <row r="894" spans="3:55" ht="12.9" customHeight="1">
      <c r="C894" s="1634" t="str">
        <f>'[1]Data Port'!$B$1157</f>
        <v>Other (Specify)</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f>'[1]Data Port'!$G$1157</f>
        <v>0</v>
      </c>
      <c r="AD894" s="1482"/>
      <c r="AE894" s="1482"/>
      <c r="AF894" s="1482"/>
      <c r="AG894" s="1482"/>
      <c r="AH894" s="1482"/>
      <c r="AZ894" s="34"/>
      <c r="BA894" s="34"/>
      <c r="BB894" s="34"/>
      <c r="BC894" s="34"/>
    </row>
    <row r="895" spans="3:55" ht="12.9" customHeight="1">
      <c r="C895" s="1634" t="str">
        <f>'[1]Data Port'!$B$1158</f>
        <v>Other (Specify)</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f>'[1]Data Port'!$G$1158</f>
        <v>0</v>
      </c>
      <c r="AD895" s="1482"/>
      <c r="AE895" s="1482"/>
      <c r="AF895" s="1482"/>
      <c r="AG895" s="1482"/>
      <c r="AH895" s="148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612</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 customHeight="1">
      <c r="AZ909" s="34"/>
      <c r="BB909" s="30"/>
      <c r="BC909" s="816"/>
    </row>
    <row r="910" spans="1:58" ht="12.9"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2.9" customHeight="1">
      <c r="B918" s="2"/>
      <c r="F918" s="45" t="s">
        <v>757</v>
      </c>
      <c r="G918" s="48"/>
      <c r="H918" s="48"/>
      <c r="I918" s="48"/>
      <c r="J918" s="48"/>
      <c r="K918" s="48"/>
      <c r="L918" s="48"/>
      <c r="M918" s="48"/>
      <c r="N918" s="48"/>
      <c r="O918" s="48"/>
      <c r="P918" s="48"/>
      <c r="Q918" s="48"/>
      <c r="R918" s="48"/>
      <c r="S918" s="48"/>
      <c r="T918" s="49"/>
      <c r="U918" s="1402" t="s">
        <v>544</v>
      </c>
      <c r="V918" s="1403"/>
      <c r="W918" s="1403"/>
      <c r="X918" s="1403"/>
      <c r="Y918" s="1403"/>
      <c r="Z918" s="1404"/>
      <c r="AA918" s="1408">
        <f>'[1]Data Port'!$G$1162</f>
        <v>17154743</v>
      </c>
      <c r="AB918" s="1409"/>
      <c r="AC918" s="1409"/>
      <c r="AD918" s="1409"/>
      <c r="AE918" s="1409"/>
      <c r="AF918" s="1410"/>
      <c r="AZ918" s="34"/>
      <c r="BA918" s="34"/>
      <c r="BB918" s="34"/>
      <c r="BC918" s="34"/>
    </row>
    <row r="919" spans="1:58" ht="12.9" customHeight="1">
      <c r="B919" s="2"/>
      <c r="F919" s="66" t="s">
        <v>674</v>
      </c>
      <c r="G919" s="48"/>
      <c r="H919" s="48"/>
      <c r="I919" s="48"/>
      <c r="J919" s="48"/>
      <c r="K919" s="48"/>
      <c r="L919" s="48"/>
      <c r="M919" s="48"/>
      <c r="N919" s="48"/>
      <c r="O919" s="48"/>
      <c r="P919" s="48"/>
      <c r="Q919" s="48"/>
      <c r="R919" s="48"/>
      <c r="S919" s="48"/>
      <c r="T919" s="49"/>
      <c r="U919" s="1402" t="s">
        <v>590</v>
      </c>
      <c r="V919" s="1403"/>
      <c r="W919" s="1403"/>
      <c r="X919" s="1403"/>
      <c r="Y919" s="1403"/>
      <c r="Z919" s="1404"/>
      <c r="AA919" s="1408"/>
      <c r="AB919" s="1409"/>
      <c r="AC919" s="1409"/>
      <c r="AD919" s="1409"/>
      <c r="AE919" s="1409"/>
      <c r="AF919" s="1410"/>
      <c r="AZ919" s="34"/>
      <c r="BA919" s="34"/>
      <c r="BB919" s="34"/>
      <c r="BC919" s="34"/>
    </row>
    <row r="920" spans="1:58" ht="12.9" customHeight="1">
      <c r="F920" s="45" t="s">
        <v>800</v>
      </c>
      <c r="G920" s="5"/>
      <c r="H920" s="5"/>
      <c r="I920" s="5"/>
      <c r="J920" s="5"/>
      <c r="K920" s="5"/>
      <c r="L920" s="5"/>
      <c r="M920" s="5"/>
      <c r="N920" s="5"/>
      <c r="O920" s="5"/>
      <c r="P920" s="5"/>
      <c r="Q920" s="5"/>
      <c r="R920" s="5"/>
      <c r="S920" s="5"/>
      <c r="T920" s="46"/>
      <c r="U920" s="1402" t="s">
        <v>590</v>
      </c>
      <c r="V920" s="1403"/>
      <c r="W920" s="1403"/>
      <c r="X920" s="1403"/>
      <c r="Y920" s="1403"/>
      <c r="Z920" s="1404"/>
      <c r="AA920" s="1408"/>
      <c r="AB920" s="1409"/>
      <c r="AC920" s="1409"/>
      <c r="AD920" s="1409"/>
      <c r="AE920" s="1409"/>
      <c r="AF920" s="1410"/>
      <c r="AZ920" s="34"/>
      <c r="BA920" s="34"/>
      <c r="BB920" s="34"/>
      <c r="BC920" s="34"/>
    </row>
    <row r="921" spans="1:58" ht="12.9" customHeight="1">
      <c r="F921" s="45" t="s">
        <v>677</v>
      </c>
      <c r="G921" s="5"/>
      <c r="H921" s="5"/>
      <c r="I921" s="5"/>
      <c r="J921" s="5"/>
      <c r="K921" s="5"/>
      <c r="L921" s="5"/>
      <c r="M921" s="5"/>
      <c r="N921" s="5"/>
      <c r="O921" s="5"/>
      <c r="P921" s="5"/>
      <c r="Q921" s="5"/>
      <c r="R921" s="5"/>
      <c r="S921" s="5"/>
      <c r="T921" s="46"/>
      <c r="U921" s="1402" t="s">
        <v>590</v>
      </c>
      <c r="V921" s="1403"/>
      <c r="W921" s="1403"/>
      <c r="X921" s="1403"/>
      <c r="Y921" s="1403"/>
      <c r="Z921" s="1404"/>
      <c r="AA921" s="1408"/>
      <c r="AB921" s="1409"/>
      <c r="AC921" s="1409"/>
      <c r="AD921" s="1409"/>
      <c r="AE921" s="1409"/>
      <c r="AF921" s="1410"/>
      <c r="AZ921" s="34"/>
      <c r="BA921" s="34"/>
      <c r="BB921" s="34"/>
      <c r="BC921" s="34"/>
    </row>
    <row r="922" spans="1:58" ht="12.9" customHeight="1">
      <c r="F922" s="66" t="s">
        <v>785</v>
      </c>
      <c r="G922" s="5"/>
      <c r="H922" s="5"/>
      <c r="I922" s="5"/>
      <c r="J922" s="5"/>
      <c r="K922" s="5"/>
      <c r="L922" s="5"/>
      <c r="M922" s="5"/>
      <c r="N922" s="5"/>
      <c r="O922" s="5"/>
      <c r="P922" s="5"/>
      <c r="Q922" s="5"/>
      <c r="R922" s="5"/>
      <c r="S922" s="5"/>
      <c r="T922" s="46"/>
      <c r="U922" s="1402" t="s">
        <v>590</v>
      </c>
      <c r="V922" s="1403"/>
      <c r="W922" s="1403"/>
      <c r="X922" s="1403"/>
      <c r="Y922" s="1403"/>
      <c r="Z922" s="1404"/>
      <c r="AA922" s="1408"/>
      <c r="AB922" s="1409"/>
      <c r="AC922" s="1409"/>
      <c r="AD922" s="1409"/>
      <c r="AE922" s="1409"/>
      <c r="AF922" s="1410"/>
      <c r="AZ922" s="34"/>
      <c r="BA922" s="34"/>
      <c r="BB922" s="34"/>
      <c r="BC922" s="34"/>
    </row>
    <row r="923" spans="1:58" ht="12.9" customHeight="1">
      <c r="F923" s="66" t="s">
        <v>786</v>
      </c>
      <c r="G923" s="5"/>
      <c r="H923" s="5"/>
      <c r="I923" s="5"/>
      <c r="J923" s="5"/>
      <c r="K923" s="5"/>
      <c r="L923" s="5"/>
      <c r="M923" s="5"/>
      <c r="N923" s="5"/>
      <c r="O923" s="5"/>
      <c r="P923" s="5"/>
      <c r="Q923" s="5"/>
      <c r="R923" s="5"/>
      <c r="S923" s="5"/>
      <c r="T923" s="46"/>
      <c r="U923" s="1402" t="s">
        <v>590</v>
      </c>
      <c r="V923" s="1403"/>
      <c r="W923" s="1403"/>
      <c r="X923" s="1403"/>
      <c r="Y923" s="1403"/>
      <c r="Z923" s="1404"/>
      <c r="AA923" s="1408"/>
      <c r="AB923" s="1409"/>
      <c r="AC923" s="1409"/>
      <c r="AD923" s="1409"/>
      <c r="AE923" s="1409"/>
      <c r="AF923" s="1410"/>
      <c r="AZ923" s="34"/>
      <c r="BA923" s="34"/>
      <c r="BB923" s="34"/>
      <c r="BC923" s="34"/>
    </row>
    <row r="924" spans="1:58" ht="12.9" customHeight="1">
      <c r="F924" s="66" t="s">
        <v>787</v>
      </c>
      <c r="G924" s="5"/>
      <c r="H924" s="5"/>
      <c r="I924" s="5"/>
      <c r="J924" s="5"/>
      <c r="K924" s="5"/>
      <c r="L924" s="5"/>
      <c r="M924" s="5"/>
      <c r="N924" s="5"/>
      <c r="O924" s="5"/>
      <c r="P924" s="5"/>
      <c r="Q924" s="5"/>
      <c r="R924" s="5"/>
      <c r="S924" s="5"/>
      <c r="T924" s="46"/>
      <c r="U924" s="1402" t="s">
        <v>590</v>
      </c>
      <c r="V924" s="1403"/>
      <c r="W924" s="1403"/>
      <c r="X924" s="1403"/>
      <c r="Y924" s="1403"/>
      <c r="Z924" s="1404"/>
      <c r="AA924" s="1408"/>
      <c r="AB924" s="1409"/>
      <c r="AC924" s="1409"/>
      <c r="AD924" s="1409"/>
      <c r="AE924" s="1409"/>
      <c r="AF924" s="1410"/>
      <c r="AZ924" s="34"/>
      <c r="BA924" s="34"/>
      <c r="BB924" s="34"/>
      <c r="BC924" s="34"/>
    </row>
    <row r="925" spans="1:58" ht="12.9" customHeight="1">
      <c r="F925" s="45" t="s">
        <v>676</v>
      </c>
      <c r="G925" s="5"/>
      <c r="H925" s="5"/>
      <c r="I925" s="5"/>
      <c r="J925" s="5"/>
      <c r="K925" s="5"/>
      <c r="L925" s="5"/>
      <c r="M925" s="5"/>
      <c r="N925" s="5"/>
      <c r="O925" s="5"/>
      <c r="P925" s="5"/>
      <c r="Q925" s="5"/>
      <c r="R925" s="5"/>
      <c r="S925" s="5"/>
      <c r="T925" s="46"/>
      <c r="U925" s="1402" t="s">
        <v>590</v>
      </c>
      <c r="V925" s="1403"/>
      <c r="W925" s="1403"/>
      <c r="X925" s="1403"/>
      <c r="Y925" s="1403"/>
      <c r="Z925" s="1404"/>
      <c r="AA925" s="1408"/>
      <c r="AB925" s="1409"/>
      <c r="AC925" s="1409"/>
      <c r="AD925" s="1409"/>
      <c r="AE925" s="1409"/>
      <c r="AF925" s="1410"/>
      <c r="AZ925" s="34"/>
      <c r="BA925" s="34"/>
      <c r="BB925" s="34"/>
      <c r="BC925" s="34"/>
    </row>
    <row r="926" spans="1:58" ht="12.9" customHeight="1">
      <c r="F926" s="1602" t="s">
        <v>2189</v>
      </c>
      <c r="G926" s="1603"/>
      <c r="H926" s="1603"/>
      <c r="I926" s="1603"/>
      <c r="J926" s="1603"/>
      <c r="K926" s="1603"/>
      <c r="L926" s="1603"/>
      <c r="M926" s="1603"/>
      <c r="N926" s="1603"/>
      <c r="O926" s="1603"/>
      <c r="P926" s="1603"/>
      <c r="Q926" s="1603"/>
      <c r="R926" s="1603"/>
      <c r="S926" s="1603"/>
      <c r="T926" s="1604"/>
      <c r="U926" s="1402" t="s">
        <v>590</v>
      </c>
      <c r="V926" s="1403"/>
      <c r="W926" s="1403"/>
      <c r="X926" s="1403"/>
      <c r="Y926" s="1403"/>
      <c r="Z926" s="1404"/>
      <c r="AA926" s="1408"/>
      <c r="AB926" s="1409"/>
      <c r="AC926" s="1409"/>
      <c r="AD926" s="1409"/>
      <c r="AE926" s="1409"/>
      <c r="AF926" s="1410"/>
      <c r="AZ926" s="34"/>
      <c r="BA926" s="34"/>
      <c r="BB926" s="34"/>
      <c r="BC926" s="34"/>
    </row>
    <row r="927" spans="1:58" ht="12.9" customHeight="1">
      <c r="F927" s="1602" t="s">
        <v>678</v>
      </c>
      <c r="G927" s="1603"/>
      <c r="H927" s="1603"/>
      <c r="I927" s="1603"/>
      <c r="J927" s="1603"/>
      <c r="K927" s="1603"/>
      <c r="L927" s="1603"/>
      <c r="M927" s="1603"/>
      <c r="N927" s="1603"/>
      <c r="O927" s="1603"/>
      <c r="P927" s="1603"/>
      <c r="Q927" s="1603"/>
      <c r="R927" s="1603"/>
      <c r="S927" s="1603"/>
      <c r="T927" s="1604"/>
      <c r="U927" s="1402" t="s">
        <v>590</v>
      </c>
      <c r="V927" s="1403"/>
      <c r="W927" s="1403"/>
      <c r="X927" s="1403"/>
      <c r="Y927" s="1403"/>
      <c r="Z927" s="1404"/>
      <c r="AA927" s="1408"/>
      <c r="AB927" s="1409"/>
      <c r="AC927" s="1409"/>
      <c r="AD927" s="1409"/>
      <c r="AE927" s="1409"/>
      <c r="AF927" s="1410"/>
      <c r="AU927" s="2"/>
      <c r="AZ927" s="34"/>
      <c r="BA927" s="34"/>
      <c r="BB927" s="34"/>
      <c r="BC927" s="34"/>
    </row>
    <row r="928" spans="1:58" ht="12.9" customHeight="1">
      <c r="F928" s="1602" t="s">
        <v>2190</v>
      </c>
      <c r="G928" s="1603"/>
      <c r="H928" s="1603"/>
      <c r="I928" s="1603"/>
      <c r="J928" s="1603"/>
      <c r="K928" s="1603"/>
      <c r="L928" s="1603"/>
      <c r="M928" s="1603"/>
      <c r="N928" s="1603"/>
      <c r="O928" s="1603"/>
      <c r="P928" s="1603"/>
      <c r="Q928" s="1603"/>
      <c r="R928" s="1603"/>
      <c r="S928" s="1603"/>
      <c r="T928" s="1604"/>
      <c r="U928" s="1402" t="s">
        <v>590</v>
      </c>
      <c r="V928" s="1403"/>
      <c r="W928" s="1403"/>
      <c r="X928" s="1403"/>
      <c r="Y928" s="1403"/>
      <c r="Z928" s="1404"/>
      <c r="AA928" s="1408"/>
      <c r="AB928" s="1409"/>
      <c r="AC928" s="1409"/>
      <c r="AD928" s="1409"/>
      <c r="AE928" s="1409"/>
      <c r="AF928" s="1410"/>
      <c r="AU928" s="2"/>
      <c r="AZ928" s="34"/>
      <c r="BA928" s="34"/>
      <c r="BB928" s="34"/>
      <c r="BC928" s="34"/>
    </row>
    <row r="929" spans="6:55" ht="12.9" customHeight="1">
      <c r="F929" s="1602" t="s">
        <v>2191</v>
      </c>
      <c r="G929" s="1603"/>
      <c r="H929" s="1603"/>
      <c r="I929" s="1603"/>
      <c r="J929" s="1603"/>
      <c r="K929" s="1603"/>
      <c r="L929" s="1603"/>
      <c r="M929" s="1603"/>
      <c r="N929" s="1603"/>
      <c r="O929" s="1603"/>
      <c r="P929" s="1603"/>
      <c r="Q929" s="1603"/>
      <c r="R929" s="1603"/>
      <c r="S929" s="1603"/>
      <c r="T929" s="1604"/>
      <c r="U929" s="1402" t="s">
        <v>590</v>
      </c>
      <c r="V929" s="1403"/>
      <c r="W929" s="1403"/>
      <c r="X929" s="1403"/>
      <c r="Y929" s="1403"/>
      <c r="Z929" s="1404"/>
      <c r="AA929" s="1408"/>
      <c r="AB929" s="1409"/>
      <c r="AC929" s="1409"/>
      <c r="AD929" s="1409"/>
      <c r="AE929" s="1409"/>
      <c r="AF929" s="1410"/>
      <c r="AU929" s="2"/>
      <c r="AZ929" s="34"/>
      <c r="BA929" s="34"/>
      <c r="BB929" s="34"/>
      <c r="BC929" s="34"/>
    </row>
    <row r="930" spans="6:55" ht="12.9" customHeight="1">
      <c r="F930" s="1602" t="s">
        <v>2192</v>
      </c>
      <c r="G930" s="1603"/>
      <c r="H930" s="1603"/>
      <c r="I930" s="1603"/>
      <c r="J930" s="1603"/>
      <c r="K930" s="1603"/>
      <c r="L930" s="1603"/>
      <c r="M930" s="1603"/>
      <c r="N930" s="1603"/>
      <c r="O930" s="1603"/>
      <c r="P930" s="1603"/>
      <c r="Q930" s="1603"/>
      <c r="R930" s="1603"/>
      <c r="S930" s="1603"/>
      <c r="T930" s="1604"/>
      <c r="U930" s="1402" t="s">
        <v>590</v>
      </c>
      <c r="V930" s="1403"/>
      <c r="W930" s="1403"/>
      <c r="X930" s="1403"/>
      <c r="Y930" s="1403"/>
      <c r="Z930" s="1404"/>
      <c r="AA930" s="1408"/>
      <c r="AB930" s="1409"/>
      <c r="AC930" s="1409"/>
      <c r="AD930" s="1409"/>
      <c r="AE930" s="1409"/>
      <c r="AF930" s="1410"/>
      <c r="AU930" s="2"/>
      <c r="AZ930" s="34"/>
      <c r="BA930" s="34"/>
      <c r="BB930" s="34"/>
      <c r="BC930" s="34"/>
    </row>
    <row r="931" spans="6:55" ht="12.9" customHeight="1">
      <c r="F931" s="1602" t="s">
        <v>2193</v>
      </c>
      <c r="G931" s="1603"/>
      <c r="H931" s="1603"/>
      <c r="I931" s="1603"/>
      <c r="J931" s="1603"/>
      <c r="K931" s="1603"/>
      <c r="L931" s="1603"/>
      <c r="M931" s="1603"/>
      <c r="N931" s="1603"/>
      <c r="O931" s="1603"/>
      <c r="P931" s="1603"/>
      <c r="Q931" s="1603"/>
      <c r="R931" s="1603"/>
      <c r="S931" s="1603"/>
      <c r="T931" s="1604"/>
      <c r="U931" s="1402" t="s">
        <v>590</v>
      </c>
      <c r="V931" s="1403"/>
      <c r="W931" s="1403"/>
      <c r="X931" s="1403"/>
      <c r="Y931" s="1403"/>
      <c r="Z931" s="1404"/>
      <c r="AA931" s="1408"/>
      <c r="AB931" s="1409"/>
      <c r="AC931" s="1409"/>
      <c r="AD931" s="1409"/>
      <c r="AE931" s="1409"/>
      <c r="AF931" s="1410"/>
      <c r="AU931" s="2"/>
      <c r="AZ931" s="34"/>
      <c r="BA931" s="34"/>
      <c r="BB931" s="34"/>
      <c r="BC931" s="34"/>
    </row>
    <row r="932" spans="6:55" ht="12.9" customHeight="1">
      <c r="F932" s="1602" t="s">
        <v>2194</v>
      </c>
      <c r="G932" s="1603"/>
      <c r="H932" s="1603"/>
      <c r="I932" s="1603"/>
      <c r="J932" s="1603"/>
      <c r="K932" s="1603"/>
      <c r="L932" s="1603"/>
      <c r="M932" s="1603"/>
      <c r="N932" s="1603"/>
      <c r="O932" s="1603"/>
      <c r="P932" s="1603"/>
      <c r="Q932" s="1603"/>
      <c r="R932" s="1603"/>
      <c r="S932" s="1603"/>
      <c r="T932" s="1604"/>
      <c r="U932" s="1402" t="s">
        <v>590</v>
      </c>
      <c r="V932" s="1403"/>
      <c r="W932" s="1403"/>
      <c r="X932" s="1403"/>
      <c r="Y932" s="1403"/>
      <c r="Z932" s="1404"/>
      <c r="AA932" s="1408"/>
      <c r="AB932" s="1409"/>
      <c r="AC932" s="1409"/>
      <c r="AD932" s="1409"/>
      <c r="AE932" s="1409"/>
      <c r="AF932" s="1410"/>
      <c r="AZ932" s="30"/>
      <c r="BA932" s="30"/>
    </row>
    <row r="933" spans="6:55" ht="12.9" customHeight="1">
      <c r="F933" s="178" t="s">
        <v>675</v>
      </c>
      <c r="G933" s="5"/>
      <c r="H933" s="5"/>
      <c r="I933" s="5"/>
      <c r="J933" s="5"/>
      <c r="K933" s="5"/>
      <c r="L933" s="5"/>
      <c r="M933" s="5"/>
      <c r="N933" s="5"/>
      <c r="O933" s="5"/>
      <c r="P933" s="5"/>
      <c r="Q933" s="5"/>
      <c r="R933" s="5"/>
      <c r="S933" s="5"/>
      <c r="T933" s="46"/>
      <c r="U933" s="1402" t="s">
        <v>590</v>
      </c>
      <c r="V933" s="1403"/>
      <c r="W933" s="1403"/>
      <c r="X933" s="1403"/>
      <c r="Y933" s="1403"/>
      <c r="Z933" s="1404"/>
      <c r="AA933" s="1408"/>
      <c r="AB933" s="1409"/>
      <c r="AC933" s="1409"/>
      <c r="AD933" s="1409"/>
      <c r="AE933" s="1409"/>
      <c r="AF933" s="1410"/>
    </row>
    <row r="934" spans="6:55" ht="12.9" customHeight="1">
      <c r="F934" s="121" t="s">
        <v>1275</v>
      </c>
      <c r="G934" s="5"/>
      <c r="H934" s="5"/>
      <c r="I934" s="5"/>
      <c r="J934" s="5"/>
      <c r="K934" s="5"/>
      <c r="L934" s="5"/>
      <c r="M934" s="5"/>
      <c r="N934" s="5"/>
      <c r="O934" s="5"/>
      <c r="P934" s="5"/>
      <c r="Q934" s="5"/>
      <c r="R934" s="5"/>
      <c r="S934" s="5"/>
      <c r="T934" s="46"/>
      <c r="U934" s="1402" t="s">
        <v>590</v>
      </c>
      <c r="V934" s="1403"/>
      <c r="W934" s="1403"/>
      <c r="X934" s="1403"/>
      <c r="Y934" s="1403"/>
      <c r="Z934" s="1404"/>
      <c r="AA934" s="1408"/>
      <c r="AB934" s="1409"/>
      <c r="AC934" s="1409"/>
      <c r="AD934" s="1409"/>
      <c r="AE934" s="1409"/>
      <c r="AF934" s="1410"/>
      <c r="AZ934" s="30"/>
      <c r="BA934" s="14"/>
    </row>
    <row r="935" spans="6:55" ht="12.9" customHeight="1">
      <c r="F935" s="66" t="s">
        <v>801</v>
      </c>
      <c r="G935" s="5"/>
      <c r="H935" s="5"/>
      <c r="I935" s="5"/>
      <c r="J935" s="5"/>
      <c r="K935" s="5"/>
      <c r="L935" s="5"/>
      <c r="M935" s="5"/>
      <c r="N935" s="5"/>
      <c r="O935" s="5"/>
      <c r="P935" s="5"/>
      <c r="Q935" s="5"/>
      <c r="R935" s="5"/>
      <c r="S935" s="5"/>
      <c r="T935" s="46"/>
      <c r="U935" s="1402" t="s">
        <v>590</v>
      </c>
      <c r="V935" s="1403"/>
      <c r="W935" s="1403"/>
      <c r="X935" s="1403"/>
      <c r="Y935" s="1403"/>
      <c r="Z935" s="1404"/>
      <c r="AA935" s="1408"/>
      <c r="AB935" s="1409"/>
      <c r="AC935" s="1409"/>
      <c r="AD935" s="1409"/>
      <c r="AE935" s="1409"/>
      <c r="AF935" s="1410"/>
      <c r="AZ935" s="30"/>
      <c r="BA935" s="14"/>
    </row>
    <row r="936" spans="6:55" ht="12.9" customHeight="1">
      <c r="F936" s="1640" t="s">
        <v>2198</v>
      </c>
      <c r="G936" s="1641"/>
      <c r="H936" s="1641"/>
      <c r="I936" s="1641"/>
      <c r="J936" s="1641"/>
      <c r="K936" s="1641"/>
      <c r="L936" s="1641"/>
      <c r="M936" s="1641"/>
      <c r="N936" s="1641"/>
      <c r="O936" s="1641"/>
      <c r="P936" s="1641"/>
      <c r="Q936" s="1641"/>
      <c r="R936" s="1641"/>
      <c r="S936" s="1641"/>
      <c r="T936" s="1642"/>
      <c r="U936" s="1402" t="s">
        <v>590</v>
      </c>
      <c r="V936" s="1403"/>
      <c r="W936" s="1403"/>
      <c r="X936" s="1403"/>
      <c r="Y936" s="1403"/>
      <c r="Z936" s="1404"/>
      <c r="AA936" s="1408"/>
      <c r="AB936" s="1409"/>
      <c r="AC936" s="1409"/>
      <c r="AD936" s="1409"/>
      <c r="AE936" s="1409"/>
      <c r="AF936" s="1410"/>
      <c r="AZ936" s="30"/>
      <c r="BA936" s="14"/>
    </row>
    <row r="937" spans="6:55" ht="12.9" customHeight="1">
      <c r="F937" s="1640" t="s">
        <v>2199</v>
      </c>
      <c r="G937" s="1641"/>
      <c r="H937" s="1641"/>
      <c r="I937" s="1641"/>
      <c r="J937" s="1641"/>
      <c r="K937" s="1641"/>
      <c r="L937" s="1641"/>
      <c r="M937" s="1641"/>
      <c r="N937" s="1641"/>
      <c r="O937" s="1641"/>
      <c r="P937" s="1641"/>
      <c r="Q937" s="1641"/>
      <c r="R937" s="1641"/>
      <c r="S937" s="1641"/>
      <c r="T937" s="1642"/>
      <c r="U937" s="1402" t="s">
        <v>590</v>
      </c>
      <c r="V937" s="1403"/>
      <c r="W937" s="1403"/>
      <c r="X937" s="1403"/>
      <c r="Y937" s="1403"/>
      <c r="Z937" s="1404"/>
      <c r="AA937" s="1408"/>
      <c r="AB937" s="1409"/>
      <c r="AC937" s="1409"/>
      <c r="AD937" s="1409"/>
      <c r="AE937" s="1409"/>
      <c r="AF937" s="1410"/>
      <c r="AZ937" s="30"/>
      <c r="BA937" s="30"/>
    </row>
    <row r="938" spans="6:55" ht="12.9" customHeight="1">
      <c r="F938" s="1602" t="s">
        <v>2195</v>
      </c>
      <c r="G938" s="1603"/>
      <c r="H938" s="1603"/>
      <c r="I938" s="1603"/>
      <c r="J938" s="1603"/>
      <c r="K938" s="1603"/>
      <c r="L938" s="1603"/>
      <c r="M938" s="1603"/>
      <c r="N938" s="1603"/>
      <c r="O938" s="1603"/>
      <c r="P938" s="1603"/>
      <c r="Q938" s="1603"/>
      <c r="R938" s="1603"/>
      <c r="S938" s="1603"/>
      <c r="T938" s="1604"/>
      <c r="U938" s="1402" t="s">
        <v>590</v>
      </c>
      <c r="V938" s="1403"/>
      <c r="W938" s="1403"/>
      <c r="X938" s="1403"/>
      <c r="Y938" s="1403"/>
      <c r="Z938" s="1404"/>
      <c r="AA938" s="1408"/>
      <c r="AB938" s="1409"/>
      <c r="AC938" s="1409"/>
      <c r="AD938" s="1409"/>
      <c r="AE938" s="1409"/>
      <c r="AF938" s="1410"/>
      <c r="AZ938" s="30"/>
      <c r="BA938" s="30"/>
    </row>
    <row r="939" spans="6:55" ht="12.9" customHeight="1">
      <c r="F939" s="1602" t="s">
        <v>2196</v>
      </c>
      <c r="G939" s="1603"/>
      <c r="H939" s="1603"/>
      <c r="I939" s="1603"/>
      <c r="J939" s="1603"/>
      <c r="K939" s="1603"/>
      <c r="L939" s="1603"/>
      <c r="M939" s="1603"/>
      <c r="N939" s="1603"/>
      <c r="O939" s="1603"/>
      <c r="P939" s="1603"/>
      <c r="Q939" s="1603"/>
      <c r="R939" s="1603"/>
      <c r="S939" s="1603"/>
      <c r="T939" s="1604"/>
      <c r="U939" s="1402" t="s">
        <v>590</v>
      </c>
      <c r="V939" s="1403"/>
      <c r="W939" s="1403"/>
      <c r="X939" s="1403"/>
      <c r="Y939" s="1403"/>
      <c r="Z939" s="1404"/>
      <c r="AA939" s="1408"/>
      <c r="AB939" s="1409"/>
      <c r="AC939" s="1409"/>
      <c r="AD939" s="1409"/>
      <c r="AE939" s="1409"/>
      <c r="AF939" s="1410"/>
      <c r="AZ939" s="30"/>
      <c r="BA939" s="30"/>
    </row>
    <row r="940" spans="6:55" ht="12.9" customHeight="1">
      <c r="F940" s="1602" t="s">
        <v>2197</v>
      </c>
      <c r="G940" s="1603"/>
      <c r="H940" s="1603"/>
      <c r="I940" s="1603"/>
      <c r="J940" s="1603"/>
      <c r="K940" s="1603"/>
      <c r="L940" s="1603"/>
      <c r="M940" s="1603"/>
      <c r="N940" s="1603"/>
      <c r="O940" s="1603"/>
      <c r="P940" s="1603"/>
      <c r="Q940" s="1603"/>
      <c r="R940" s="1603"/>
      <c r="S940" s="1603"/>
      <c r="T940" s="1604"/>
      <c r="U940" s="1402" t="s">
        <v>590</v>
      </c>
      <c r="V940" s="1403"/>
      <c r="W940" s="1403"/>
      <c r="X940" s="1403"/>
      <c r="Y940" s="1403"/>
      <c r="Z940" s="1404"/>
      <c r="AA940" s="1408"/>
      <c r="AB940" s="1409"/>
      <c r="AC940" s="1409"/>
      <c r="AD940" s="1409"/>
      <c r="AE940" s="1409"/>
      <c r="AF940" s="1410"/>
      <c r="AZ940" s="34"/>
      <c r="BA940" s="34"/>
      <c r="BB940" s="14"/>
      <c r="BC940" s="14"/>
    </row>
    <row r="941" spans="6:55" ht="12.9" customHeight="1">
      <c r="F941" s="121" t="s">
        <v>1259</v>
      </c>
      <c r="G941" s="5"/>
      <c r="H941" s="5"/>
      <c r="I941" s="5"/>
      <c r="J941" s="5"/>
      <c r="K941" s="5"/>
      <c r="L941" s="5"/>
      <c r="M941" s="5"/>
      <c r="N941" s="5"/>
      <c r="O941" s="5"/>
      <c r="P941" s="5"/>
      <c r="Q941" s="5"/>
      <c r="R941" s="5"/>
      <c r="S941" s="5"/>
      <c r="T941" s="46"/>
      <c r="U941" s="1402" t="s">
        <v>590</v>
      </c>
      <c r="V941" s="1403"/>
      <c r="W941" s="1403"/>
      <c r="X941" s="1403"/>
      <c r="Y941" s="1403"/>
      <c r="Z941" s="1404"/>
      <c r="AA941" s="1408"/>
      <c r="AB941" s="1409"/>
      <c r="AC941" s="1409"/>
      <c r="AD941" s="1409"/>
      <c r="AE941" s="1409"/>
      <c r="AF941" s="1410"/>
      <c r="AZ941" s="34"/>
      <c r="BA941" s="34"/>
      <c r="BB941" s="14"/>
      <c r="BC941" s="14"/>
    </row>
    <row r="942" spans="6:55" ht="12.9" customHeight="1">
      <c r="F942" s="1640" t="s">
        <v>2200</v>
      </c>
      <c r="G942" s="1641"/>
      <c r="H942" s="1641"/>
      <c r="I942" s="1641"/>
      <c r="J942" s="1641"/>
      <c r="K942" s="1641"/>
      <c r="L942" s="1641"/>
      <c r="M942" s="1641"/>
      <c r="N942" s="1641"/>
      <c r="O942" s="1641"/>
      <c r="P942" s="1641"/>
      <c r="Q942" s="1641"/>
      <c r="R942" s="1641"/>
      <c r="S942" s="1641"/>
      <c r="T942" s="1642"/>
      <c r="U942" s="1402" t="s">
        <v>590</v>
      </c>
      <c r="V942" s="1403"/>
      <c r="W942" s="1403"/>
      <c r="X942" s="1403"/>
      <c r="Y942" s="1403"/>
      <c r="Z942" s="1404"/>
      <c r="AA942" s="1408"/>
      <c r="AB942" s="1409"/>
      <c r="AC942" s="1409"/>
      <c r="AD942" s="1409"/>
      <c r="AE942" s="1409"/>
      <c r="AF942" s="1410"/>
      <c r="AZ942" s="34"/>
      <c r="BA942" s="34"/>
      <c r="BB942" s="34"/>
      <c r="BC942" s="34"/>
    </row>
    <row r="943" spans="6:55" ht="12.9" customHeight="1">
      <c r="F943" s="121" t="s">
        <v>1260</v>
      </c>
      <c r="G943" s="5"/>
      <c r="H943" s="5"/>
      <c r="I943" s="5"/>
      <c r="J943" s="5"/>
      <c r="K943" s="5"/>
      <c r="L943" s="5"/>
      <c r="M943" s="5"/>
      <c r="N943" s="5"/>
      <c r="O943" s="5"/>
      <c r="P943" s="5"/>
      <c r="Q943" s="5"/>
      <c r="R943" s="5"/>
      <c r="S943" s="5"/>
      <c r="T943" s="46"/>
      <c r="U943" s="1402" t="s">
        <v>590</v>
      </c>
      <c r="V943" s="1403"/>
      <c r="W943" s="1403"/>
      <c r="X943" s="1403"/>
      <c r="Y943" s="1403"/>
      <c r="Z943" s="1404"/>
      <c r="AA943" s="1408"/>
      <c r="AB943" s="1409"/>
      <c r="AC943" s="1409"/>
      <c r="AD943" s="1409"/>
      <c r="AE943" s="1409"/>
      <c r="AF943" s="1410"/>
      <c r="AZ943" s="34"/>
      <c r="BA943" s="34"/>
      <c r="BB943" s="34"/>
      <c r="BC943" s="34"/>
    </row>
    <row r="944" spans="6:55" ht="12.9" customHeight="1">
      <c r="F944" s="1640" t="s">
        <v>2201</v>
      </c>
      <c r="G944" s="1641"/>
      <c r="H944" s="1641"/>
      <c r="I944" s="1641"/>
      <c r="J944" s="1641"/>
      <c r="K944" s="1641"/>
      <c r="L944" s="1641"/>
      <c r="M944" s="1641"/>
      <c r="N944" s="1641"/>
      <c r="O944" s="1641"/>
      <c r="P944" s="1641"/>
      <c r="Q944" s="1641"/>
      <c r="R944" s="1641"/>
      <c r="S944" s="1641"/>
      <c r="T944" s="1642"/>
      <c r="U944" s="1402" t="s">
        <v>590</v>
      </c>
      <c r="V944" s="1403"/>
      <c r="W944" s="1403"/>
      <c r="X944" s="1403"/>
      <c r="Y944" s="1403"/>
      <c r="Z944" s="1404"/>
      <c r="AA944" s="1408"/>
      <c r="AB944" s="1409"/>
      <c r="AC944" s="1409"/>
      <c r="AD944" s="1409"/>
      <c r="AE944" s="1409"/>
      <c r="AF944" s="1410"/>
      <c r="AZ944" s="34"/>
      <c r="BA944" s="34"/>
      <c r="BB944" s="34"/>
      <c r="BC944" s="34"/>
    </row>
    <row r="945" spans="1:55" ht="12.9" customHeight="1">
      <c r="F945" s="45" t="s">
        <v>805</v>
      </c>
      <c r="G945" s="5"/>
      <c r="H945" s="5"/>
      <c r="I945" s="5"/>
      <c r="J945" s="5"/>
      <c r="K945" s="5"/>
      <c r="L945" s="5"/>
      <c r="M945" s="5"/>
      <c r="N945" s="5"/>
      <c r="O945" s="5"/>
      <c r="P945" s="1402" t="s">
        <v>668</v>
      </c>
      <c r="Q945" s="1403"/>
      <c r="R945" s="1403"/>
      <c r="S945" s="1403"/>
      <c r="T945" s="1404"/>
      <c r="U945" s="1402" t="s">
        <v>590</v>
      </c>
      <c r="V945" s="1403"/>
      <c r="W945" s="1403"/>
      <c r="X945" s="1403"/>
      <c r="Y945" s="1403"/>
      <c r="Z945" s="1404"/>
      <c r="AA945" s="1408"/>
      <c r="AB945" s="1409"/>
      <c r="AC945" s="1409"/>
      <c r="AD945" s="1409"/>
      <c r="AE945" s="1409"/>
      <c r="AF945" s="1410"/>
      <c r="AZ945" s="34"/>
      <c r="BA945" s="34"/>
      <c r="BB945" s="34"/>
      <c r="BC945" s="34"/>
    </row>
    <row r="946" spans="1:55" ht="12.9" customHeight="1">
      <c r="F946" s="1602" t="s">
        <v>2188</v>
      </c>
      <c r="G946" s="1603"/>
      <c r="H946" s="1604"/>
      <c r="I946" s="1594" t="s">
        <v>334</v>
      </c>
      <c r="J946" s="1595"/>
      <c r="K946" s="1595"/>
      <c r="L946" s="1595"/>
      <c r="M946" s="1595"/>
      <c r="N946" s="1595"/>
      <c r="O946" s="1595"/>
      <c r="P946" s="1595"/>
      <c r="Q946" s="1595"/>
      <c r="R946" s="1595"/>
      <c r="S946" s="1595"/>
      <c r="T946" s="1596"/>
      <c r="U946" s="1402" t="s">
        <v>590</v>
      </c>
      <c r="V946" s="1403"/>
      <c r="W946" s="1403"/>
      <c r="X946" s="1403"/>
      <c r="Y946" s="1403"/>
      <c r="Z946" s="1404"/>
      <c r="AA946" s="1408"/>
      <c r="AB946" s="1409"/>
      <c r="AC946" s="1409"/>
      <c r="AD946" s="1409"/>
      <c r="AE946" s="1409"/>
      <c r="AF946" s="1410"/>
      <c r="AZ946" s="34"/>
      <c r="BA946" s="34"/>
      <c r="BB946" s="34"/>
      <c r="BC946" s="34"/>
    </row>
    <row r="947" spans="1:55" ht="12.9" customHeight="1">
      <c r="F947" s="45" t="s">
        <v>86</v>
      </c>
      <c r="G947" s="48"/>
      <c r="H947" s="48"/>
      <c r="I947" s="1594" t="s">
        <v>334</v>
      </c>
      <c r="J947" s="1595"/>
      <c r="K947" s="1595"/>
      <c r="L947" s="1595"/>
      <c r="M947" s="1595"/>
      <c r="N947" s="1595"/>
      <c r="O947" s="1595"/>
      <c r="P947" s="1595"/>
      <c r="Q947" s="1595"/>
      <c r="R947" s="1595"/>
      <c r="S947" s="1595"/>
      <c r="T947" s="1596"/>
      <c r="U947" s="1402" t="s">
        <v>590</v>
      </c>
      <c r="V947" s="1403"/>
      <c r="W947" s="1403"/>
      <c r="X947" s="1403"/>
      <c r="Y947" s="1403"/>
      <c r="Z947" s="1404"/>
      <c r="AA947" s="1408"/>
      <c r="AB947" s="1409"/>
      <c r="AC947" s="1409"/>
      <c r="AD947" s="1409"/>
      <c r="AE947" s="1409"/>
      <c r="AF947" s="1410"/>
      <c r="AZ947" s="34"/>
      <c r="BA947" s="34"/>
      <c r="BB947" s="34"/>
      <c r="BC947" s="34"/>
    </row>
    <row r="948" spans="1:55" ht="12.9" customHeight="1">
      <c r="F948" s="45" t="s">
        <v>10</v>
      </c>
      <c r="G948" s="48"/>
      <c r="H948" s="48"/>
      <c r="I948" s="1537" t="s">
        <v>334</v>
      </c>
      <c r="J948" s="1538"/>
      <c r="K948" s="1538"/>
      <c r="L948" s="1538"/>
      <c r="M948" s="1538"/>
      <c r="N948" s="1538"/>
      <c r="O948" s="1538"/>
      <c r="P948" s="1538"/>
      <c r="Q948" s="1538"/>
      <c r="R948" s="1538"/>
      <c r="S948" s="1538"/>
      <c r="T948" s="1539"/>
      <c r="U948" s="1402" t="s">
        <v>590</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 customHeight="1">
      <c r="F949" s="47" t="s">
        <v>170</v>
      </c>
      <c r="G949" s="48"/>
      <c r="H949" s="48"/>
      <c r="I949" s="1537" t="str">
        <f>'[1]Data Port'!$B$1225</f>
        <v>LIHTC Credits</v>
      </c>
      <c r="J949" s="1538"/>
      <c r="K949" s="1538"/>
      <c r="L949" s="1538"/>
      <c r="M949" s="1538"/>
      <c r="N949" s="1538"/>
      <c r="O949" s="1538"/>
      <c r="P949" s="1538"/>
      <c r="Q949" s="1538"/>
      <c r="R949" s="1538"/>
      <c r="S949" s="1538"/>
      <c r="T949" s="1539"/>
      <c r="U949" s="1402" t="s">
        <v>590</v>
      </c>
      <c r="V949" s="1403"/>
      <c r="W949" s="1403"/>
      <c r="X949" s="1403"/>
      <c r="Y949" s="1403"/>
      <c r="Z949" s="1404"/>
      <c r="AA949" s="1408">
        <f>'[1]Data Port'!$G$1225</f>
        <v>25611053</v>
      </c>
      <c r="AB949" s="1409"/>
      <c r="AC949" s="1409"/>
      <c r="AD949" s="1409"/>
      <c r="AE949" s="1409"/>
      <c r="AF949" s="1410"/>
      <c r="AU949" s="2"/>
      <c r="AZ949" s="34"/>
      <c r="BA949" s="34"/>
      <c r="BB949" s="34"/>
      <c r="BC949" s="34"/>
    </row>
    <row r="950" spans="1:55" ht="12.9" customHeight="1">
      <c r="F950" s="47" t="s">
        <v>170</v>
      </c>
      <c r="G950" s="48"/>
      <c r="H950" s="48"/>
      <c r="I950" s="1537" t="str">
        <f>'[1]Data Port'!$B$1226</f>
        <v>Recycled Bonds</v>
      </c>
      <c r="J950" s="1538"/>
      <c r="K950" s="1538"/>
      <c r="L950" s="1538"/>
      <c r="M950" s="1538"/>
      <c r="N950" s="1538"/>
      <c r="O950" s="1538"/>
      <c r="P950" s="1538"/>
      <c r="Q950" s="1538"/>
      <c r="R950" s="1538"/>
      <c r="S950" s="1538"/>
      <c r="T950" s="1539"/>
      <c r="U950" s="1402" t="s">
        <v>590</v>
      </c>
      <c r="V950" s="1403"/>
      <c r="W950" s="1403"/>
      <c r="X950" s="1403"/>
      <c r="Y950" s="1403"/>
      <c r="Z950" s="1404"/>
      <c r="AA950" s="1408">
        <f>'[1]Data Port'!$G$1226</f>
        <v>6131826</v>
      </c>
      <c r="AB950" s="1409"/>
      <c r="AC950" s="1409"/>
      <c r="AD950" s="1409"/>
      <c r="AE950" s="1409"/>
      <c r="AF950" s="1410"/>
      <c r="AU950" s="2"/>
      <c r="AZ950" s="34"/>
      <c r="BA950" s="34"/>
      <c r="BB950" s="34"/>
      <c r="BC950" s="34"/>
    </row>
    <row r="951" spans="1:55" ht="12.9" customHeight="1">
      <c r="AU951" s="2"/>
      <c r="AZ951" s="34"/>
      <c r="BA951" s="34"/>
      <c r="BB951" s="34"/>
      <c r="BC951" s="34"/>
    </row>
    <row r="952" spans="1:55" ht="12.9" customHeight="1">
      <c r="A952" s="2" t="s">
        <v>575</v>
      </c>
      <c r="C952" s="2" t="s">
        <v>750</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 customHeight="1">
      <c r="C957" s="66" t="s">
        <v>879</v>
      </c>
      <c r="D957" s="5"/>
      <c r="E957" s="5"/>
      <c r="J957" s="1554" t="s">
        <v>307</v>
      </c>
      <c r="K957" s="1555"/>
      <c r="L957" s="1555"/>
      <c r="M957" s="1555"/>
      <c r="N957" s="1555"/>
      <c r="O957" s="1555"/>
      <c r="P957" s="1555"/>
      <c r="Q957" s="1555"/>
      <c r="R957" s="1555"/>
      <c r="S957" s="1556"/>
      <c r="U957" s="66" t="s">
        <v>879</v>
      </c>
      <c r="V957" s="5"/>
      <c r="W957" s="5"/>
      <c r="AB957" s="1554" t="s">
        <v>307</v>
      </c>
      <c r="AC957" s="1555"/>
      <c r="AD957" s="1555"/>
      <c r="AE957" s="1555"/>
      <c r="AF957" s="1555"/>
      <c r="AG957" s="1555"/>
      <c r="AH957" s="1555"/>
      <c r="AI957" s="1555"/>
      <c r="AJ957" s="1555"/>
      <c r="AK957" s="1556"/>
      <c r="AZ957" s="34"/>
      <c r="BA957" s="34"/>
      <c r="BB957" s="34"/>
      <c r="BC957" s="34"/>
    </row>
    <row r="958" spans="1:55" ht="12.9"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 customHeight="1">
      <c r="C962" s="121" t="s">
        <v>1659</v>
      </c>
      <c r="D962" s="5"/>
      <c r="E962" s="5"/>
      <c r="F962" s="5"/>
      <c r="G962" s="5"/>
      <c r="H962" s="5"/>
      <c r="I962" s="5"/>
      <c r="J962" s="5"/>
      <c r="K962" s="5"/>
      <c r="L962" s="46"/>
      <c r="M962" s="1405"/>
      <c r="N962" s="1406"/>
      <c r="O962" s="1406"/>
      <c r="P962" s="1406"/>
      <c r="Q962" s="1406"/>
      <c r="R962" s="1406"/>
      <c r="S962" s="1407"/>
      <c r="U962" s="121" t="s">
        <v>1659</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900</v>
      </c>
      <c r="G969" s="5"/>
      <c r="H969" s="5"/>
      <c r="I969" s="5"/>
      <c r="J969" s="5"/>
      <c r="K969" s="5"/>
      <c r="L969" s="46"/>
      <c r="M969" s="1644" t="s">
        <v>590</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879</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8" t="s">
        <v>668</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4" t="s">
        <v>547</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2.9"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0">
        <f>CP802</f>
        <v>97</v>
      </c>
      <c r="AC986" s="1391"/>
      <c r="AD986" s="1391"/>
      <c r="AE986" s="1391"/>
      <c r="AF986" s="1391"/>
      <c r="AG986" s="1391"/>
      <c r="AH986" s="1391"/>
      <c r="AI986" s="1392"/>
      <c r="AJ986" s="1489">
        <f>IF(ISERROR((R986*AB986)),0,(R986*AB986))</f>
        <v>45918830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0">
        <f>CU802</f>
        <v>131</v>
      </c>
      <c r="AC987" s="1391"/>
      <c r="AD987" s="1391"/>
      <c r="AE987" s="1391"/>
      <c r="AF987" s="1391"/>
      <c r="AG987" s="1391"/>
      <c r="AH987" s="1391"/>
      <c r="AI987" s="1392"/>
      <c r="AJ987" s="1489">
        <f>IF(ISERROR((R987*AB987)),0,(R987*AB987))</f>
        <v>71501634</v>
      </c>
      <c r="AK987" s="1490"/>
      <c r="AL987" s="1490"/>
      <c r="AM987" s="1490"/>
      <c r="AN987" s="1490"/>
      <c r="AO987" s="1490"/>
      <c r="AP987" s="1490"/>
      <c r="AQ987" s="1491"/>
      <c r="AR987" s="68"/>
      <c r="AS987" s="68"/>
      <c r="AT987" s="68"/>
      <c r="AU987" s="68"/>
      <c r="AV987" s="68"/>
      <c r="AW987" s="68"/>
      <c r="AX987" s="68"/>
      <c r="AY987" s="68"/>
      <c r="AZ987" s="30"/>
      <c r="BB987" s="14"/>
      <c r="BC987" s="14"/>
    </row>
    <row r="988" spans="1:64" ht="12.9"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0">
        <f>CZ802</f>
        <v>21</v>
      </c>
      <c r="AC988" s="1391"/>
      <c r="AD988" s="1391"/>
      <c r="AE988" s="1391"/>
      <c r="AF988" s="1391"/>
      <c r="AG988" s="1391"/>
      <c r="AH988" s="1391"/>
      <c r="AI988" s="1392"/>
      <c r="AJ988" s="1489">
        <f>IF(ISERROR((R988*AB988)),0,(R988*AB988))</f>
        <v>13826400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 customHeight="1">
      <c r="A990" s="14"/>
      <c r="B990" s="47"/>
      <c r="C990" s="78"/>
      <c r="D990" s="1387" t="s">
        <v>459</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249</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131246864</v>
      </c>
      <c r="AK992" s="1490"/>
      <c r="AL992" s="1490"/>
      <c r="AM992" s="1490"/>
      <c r="AN992" s="1490"/>
      <c r="AO992" s="1490"/>
      <c r="AP992" s="1490"/>
      <c r="AQ992" s="1491"/>
      <c r="AR992" s="68"/>
      <c r="AS992" s="68"/>
      <c r="AT992" s="68"/>
      <c r="AU992" s="68"/>
      <c r="AV992" s="68"/>
      <c r="AW992" s="68"/>
      <c r="AX992" s="68"/>
      <c r="AY992" s="68"/>
      <c r="AZ992" s="34"/>
      <c r="BB992" s="34"/>
      <c r="BC992" s="34"/>
    </row>
    <row r="993" spans="1:55" ht="12.9"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 customHeight="1">
      <c r="A994" s="14"/>
      <c r="B994" s="73"/>
      <c r="C994" s="927" t="s">
        <v>667</v>
      </c>
      <c r="D994" s="1505" t="s">
        <v>1218</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668</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 customHeight="1">
      <c r="A995" s="14"/>
      <c r="B995" s="257"/>
      <c r="C995" s="256"/>
      <c r="D995" s="1540" t="s">
        <v>2231</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 customHeight="1">
      <c r="A999" s="14"/>
      <c r="B999" s="257"/>
      <c r="C999" s="256"/>
      <c r="D999" s="1543" t="s">
        <v>2202</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 customHeight="1">
      <c r="A1001" s="14"/>
      <c r="B1001" s="255"/>
      <c r="C1001" s="318"/>
      <c r="D1001" s="1495" t="s">
        <v>1284</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 customHeight="1">
      <c r="A1002" s="14"/>
      <c r="B1002" s="257"/>
      <c r="C1002" s="82"/>
      <c r="D1002" s="1540" t="s">
        <v>1282</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249</v>
      </c>
      <c r="AZ1003" s="34"/>
      <c r="BB1003" s="34"/>
    </row>
    <row r="1004" spans="1:55" ht="12.9"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v>
      </c>
      <c r="AZ1005" s="34"/>
      <c r="BB1005" s="34"/>
    </row>
    <row r="1006" spans="1:55" ht="12.9"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 customHeight="1">
      <c r="A1007" s="14"/>
      <c r="B1007" s="255"/>
      <c r="C1007" s="80" t="s">
        <v>671</v>
      </c>
      <c r="D1007" s="1495" t="s">
        <v>1681</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544</v>
      </c>
      <c r="AH1007" s="1504"/>
      <c r="AI1007" s="87"/>
      <c r="AJ1007" s="1393">
        <f>ROUND(IF(AG1007="yes",AJ992*0.1,0),0)</f>
        <v>13124686</v>
      </c>
      <c r="AK1007" s="1394"/>
      <c r="AL1007" s="1394"/>
      <c r="AM1007" s="1394"/>
      <c r="AN1007" s="1394"/>
      <c r="AO1007" s="1394"/>
      <c r="AP1007" s="1394"/>
      <c r="AQ1007" s="1395"/>
      <c r="AR1007" s="68"/>
      <c r="AS1007" s="68"/>
      <c r="AT1007" s="68"/>
      <c r="AU1007" s="68"/>
      <c r="AV1007" s="68"/>
      <c r="AW1007" s="68"/>
      <c r="AX1007" s="68"/>
      <c r="BB1007" s="34"/>
    </row>
    <row r="1008" spans="1:55" ht="12.9" customHeight="1">
      <c r="A1008" s="14"/>
      <c r="B1008" s="73"/>
      <c r="C1008" s="74"/>
      <c r="D1008" s="1508" t="s">
        <v>1283</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 customHeight="1">
      <c r="A1011" s="14"/>
      <c r="B1011" s="79"/>
      <c r="C1011" s="80" t="s">
        <v>212</v>
      </c>
      <c r="D1011" s="1495" t="s">
        <v>1285</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1286</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1839</v>
      </c>
      <c r="AZ1012" s="3" t="s">
        <v>2603</v>
      </c>
    </row>
    <row r="1013" spans="1:52" ht="12.9" customHeight="1">
      <c r="A1013" s="14"/>
      <c r="B1013" s="79"/>
      <c r="C1013" s="80" t="s">
        <v>215</v>
      </c>
      <c r="D1013" s="1495" t="s">
        <v>1287</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8" t="s">
        <v>1288</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 customHeight="1">
      <c r="A1016" s="14"/>
      <c r="B1016" s="79"/>
      <c r="C1016" s="80" t="s">
        <v>218</v>
      </c>
      <c r="D1016" s="1505" t="s">
        <v>2232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 customHeight="1">
      <c r="A1017" s="14"/>
      <c r="B1017" s="73"/>
      <c r="C1017" s="74"/>
      <c r="D1017" s="1508" t="s">
        <v>1289</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 customHeight="1">
      <c r="A1020" s="14"/>
      <c r="B1020" s="79"/>
      <c r="C1020" s="80" t="s">
        <v>223</v>
      </c>
      <c r="D1020" s="1522" t="s">
        <v>1290</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 customHeight="1">
      <c r="A1022" s="14"/>
      <c r="B1022" s="81"/>
      <c r="C1022" s="84"/>
      <c r="D1022" s="1508" t="s">
        <v>1291</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486" t="s">
        <v>590</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2602</v>
      </c>
      <c r="AY1024" s="201">
        <f>IF(SUM(AY1013:AY1023)&lt;=0.2,SUM(AY1013:AY1023),0.2)</f>
        <v>0</v>
      </c>
    </row>
    <row r="1025" spans="1:57" ht="12.9" customHeight="1">
      <c r="A1025" s="14"/>
      <c r="B1025" s="79"/>
      <c r="C1025" s="80" t="s">
        <v>229</v>
      </c>
      <c r="D1025" s="1495" t="s">
        <v>1292</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668</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 customHeight="1">
      <c r="A1026" s="14"/>
      <c r="B1026" s="73"/>
      <c r="C1026" s="74"/>
      <c r="D1026" s="1508" t="s">
        <v>1688</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 customHeight="1">
      <c r="A1029" s="14"/>
      <c r="B1029" s="79"/>
      <c r="C1029" s="80" t="s">
        <v>234</v>
      </c>
      <c r="D1029" s="1505" t="s">
        <v>1293</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544</v>
      </c>
      <c r="AH1029" s="1504"/>
      <c r="AI1029" s="87"/>
      <c r="AJ1029" s="1393">
        <f>ROUND(IF(AG1029="yes",(AJ992*0.1),0),0)</f>
        <v>13124686</v>
      </c>
      <c r="AK1029" s="1394"/>
      <c r="AL1029" s="1394"/>
      <c r="AM1029" s="1394"/>
      <c r="AN1029" s="1394"/>
      <c r="AO1029" s="1394"/>
      <c r="AP1029" s="1394"/>
      <c r="AQ1029" s="1395"/>
      <c r="AR1029" s="68"/>
      <c r="AS1029" s="68"/>
      <c r="AT1029" s="68"/>
      <c r="AU1029" s="68"/>
      <c r="AV1029" s="68"/>
      <c r="AW1029" s="68"/>
      <c r="AX1029" s="68"/>
      <c r="AY1029" s="68"/>
    </row>
    <row r="1030" spans="1:57" ht="12.9" customHeight="1">
      <c r="A1030" s="14"/>
      <c r="B1030" s="73"/>
      <c r="C1030" s="74"/>
      <c r="D1030" s="1508" t="s">
        <v>1294</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 customHeight="1">
      <c r="A1032" s="14"/>
      <c r="B1032" s="73"/>
      <c r="C1032" s="339" t="s">
        <v>686</v>
      </c>
      <c r="D1032" s="1495" t="s">
        <v>1684</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 customHeight="1">
      <c r="A1033" s="14"/>
      <c r="B1033" s="73"/>
      <c r="C1033" s="74"/>
      <c r="D1033" s="1517"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 customHeight="1">
      <c r="A1036" s="14"/>
      <c r="B1036" s="73"/>
      <c r="C1036" s="339" t="s">
        <v>686</v>
      </c>
      <c r="D1036" s="1505" t="s">
        <v>1686</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 customHeight="1">
      <c r="A1037" s="14"/>
      <c r="B1037" s="73"/>
      <c r="C1037" s="74"/>
      <c r="D1037" s="1517"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2485</v>
      </c>
      <c r="BC1038" s="1183"/>
      <c r="BD1038" s="1183"/>
      <c r="BE1038" s="1183"/>
    </row>
    <row r="1039" spans="1:57" ht="12.9"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0.20883534136546184</v>
      </c>
      <c r="BB1039" s="3" t="s">
        <v>2489</v>
      </c>
    </row>
    <row r="1040" spans="1:57" ht="12.9"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2486</v>
      </c>
    </row>
    <row r="1041" spans="1:56" ht="12.9" customHeight="1">
      <c r="A1041" s="14"/>
      <c r="B1041" s="79"/>
      <c r="C1041" s="131" t="s">
        <v>1008</v>
      </c>
      <c r="D1041" s="1495" t="s">
        <v>1295</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2487</v>
      </c>
    </row>
    <row r="1042" spans="1:56" ht="12.9" customHeight="1">
      <c r="A1042" s="14"/>
      <c r="B1042" s="73"/>
      <c r="C1042" s="74"/>
      <c r="D1042" s="1508" t="s">
        <v>2141</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2488</v>
      </c>
    </row>
    <row r="1043" spans="1:56" ht="12.9"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 customHeight="1">
      <c r="A1045" s="14"/>
      <c r="B1045" s="79"/>
      <c r="C1045" s="131" t="s">
        <v>1682</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13124686.4</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 customHeight="1">
      <c r="A1046" s="14"/>
      <c r="B1046" s="73"/>
      <c r="C1046" s="442"/>
      <c r="D1046" s="1508" t="s">
        <v>1297</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7850046.8999999994</v>
      </c>
      <c r="BA1046" s="1182">
        <f>IF(BA1040,20%,15%)</f>
        <v>0.15</v>
      </c>
      <c r="BB1046" s="3" t="s">
        <v>2475</v>
      </c>
      <c r="BC1046" s="3" t="s">
        <v>2476</v>
      </c>
      <c r="BD1046" s="3"/>
    </row>
    <row r="1047" spans="1:56" ht="12.9"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 customHeight="1">
      <c r="A1048" s="14"/>
      <c r="B1048" s="77"/>
      <c r="C1048" s="78"/>
      <c r="D1048" s="132" t="s">
        <v>970</v>
      </c>
      <c r="E1048" s="133"/>
      <c r="F1048" s="133"/>
      <c r="G1048" s="133"/>
      <c r="H1048" s="133"/>
      <c r="I1048" s="1571">
        <f>AY1003</f>
        <v>249</v>
      </c>
      <c r="J1048" s="1572"/>
      <c r="K1048" s="7"/>
      <c r="L1048" s="133"/>
      <c r="M1048" s="133"/>
      <c r="N1048" s="133"/>
      <c r="O1048" s="133"/>
      <c r="P1048" s="133"/>
      <c r="Q1048" s="133"/>
      <c r="R1048" s="133"/>
      <c r="S1048" s="133"/>
      <c r="T1048" s="133"/>
      <c r="U1048" s="133"/>
      <c r="V1048" s="134" t="s">
        <v>971</v>
      </c>
      <c r="W1048" s="48"/>
      <c r="X1048" s="1569">
        <f>CI753</f>
        <v>26</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2475</v>
      </c>
      <c r="BC1048" s="3" t="s">
        <v>2478</v>
      </c>
      <c r="BD1048" s="3"/>
    </row>
    <row r="1049" spans="1:56" ht="12.9" customHeight="1">
      <c r="A1049" s="14"/>
      <c r="B1049" s="79"/>
      <c r="C1049" s="131" t="s">
        <v>1683</v>
      </c>
      <c r="D1049" s="1495" t="s">
        <v>2167</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26249372.800000001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2475</v>
      </c>
      <c r="BC1049" s="3" t="s">
        <v>2479</v>
      </c>
      <c r="BD1049" s="3"/>
    </row>
    <row r="1050" spans="1:56" ht="12.9" customHeight="1">
      <c r="A1050" s="14"/>
      <c r="B1050" s="73"/>
      <c r="C1050" s="442"/>
      <c r="D1050" s="1508" t="s">
        <v>1296</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2480</v>
      </c>
      <c r="BB1051" s="3"/>
      <c r="BC1051" s="3"/>
      <c r="BD1051" s="3" cm="1">
        <f t="array" ref="BD1051">_xlfn.IFS(BA1040,3000000,AND(BA1041&gt;=25%,BA1042&gt;=15),2800000,TRUE,2500000)</f>
        <v>2500000</v>
      </c>
    </row>
    <row r="1052" spans="1:56" ht="12.9" customHeight="1">
      <c r="A1052" s="14"/>
      <c r="B1052" s="77"/>
      <c r="C1052" s="78"/>
      <c r="D1052" s="132" t="s">
        <v>970</v>
      </c>
      <c r="E1052" s="133"/>
      <c r="F1052" s="133"/>
      <c r="G1052" s="133"/>
      <c r="H1052" s="133"/>
      <c r="I1052" s="1571">
        <f>AY1003</f>
        <v>249</v>
      </c>
      <c r="J1052" s="1572"/>
      <c r="K1052" s="14"/>
      <c r="L1052" s="133"/>
      <c r="M1052" s="133"/>
      <c r="N1052" s="133"/>
      <c r="O1052" s="133"/>
      <c r="P1052" s="133"/>
      <c r="Q1052" s="133"/>
      <c r="R1052" s="133"/>
      <c r="S1052" s="133"/>
      <c r="T1052" s="133"/>
      <c r="U1052" s="133"/>
      <c r="V1052" s="134" t="s">
        <v>972</v>
      </c>
      <c r="X1052" s="1569">
        <f>CM753</f>
        <v>26</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2481</v>
      </c>
      <c r="BC1052" s="3"/>
      <c r="BD1052" s="3">
        <v>6666667</v>
      </c>
    </row>
    <row r="1053" spans="1:56" ht="12.9"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196870295.20000002</v>
      </c>
      <c r="AK1053" s="1581"/>
      <c r="AL1053" s="1581"/>
      <c r="AM1053" s="1581"/>
      <c r="AN1053" s="1581"/>
      <c r="AO1053" s="1581"/>
      <c r="AP1053" s="1581"/>
      <c r="AQ1053" s="1582"/>
      <c r="AR1053" s="68"/>
      <c r="AS1053" s="68"/>
      <c r="AT1053" s="68"/>
      <c r="AU1053" s="68"/>
      <c r="AV1053" s="68"/>
      <c r="AW1053" s="68"/>
      <c r="AX1053" s="68"/>
      <c r="AY1053" s="68"/>
      <c r="AZ1053" s="1181">
        <v>6000000</v>
      </c>
      <c r="BA1053" s="3" t="s">
        <v>2482</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2483</v>
      </c>
      <c r="BC1055" s="3"/>
      <c r="BD1055" s="3"/>
    </row>
    <row r="1056" spans="1:56" ht="12.9"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60144196</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7850046.8999999994</v>
      </c>
      <c r="BB1056" s="3" t="s">
        <v>2484</v>
      </c>
      <c r="BC1056" s="3"/>
      <c r="BD1056" s="3"/>
    </row>
    <row r="1057" spans="1:54" ht="12.9"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0.3481584537677459</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7810550</v>
      </c>
      <c r="BB1058" s="3" t="s">
        <v>2490</v>
      </c>
    </row>
    <row r="1059" spans="1:54" ht="12.9"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5310550</v>
      </c>
      <c r="BB1059" s="3" t="s">
        <v>2491</v>
      </c>
    </row>
    <row r="1060" spans="1:54" ht="12.9"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590</v>
      </c>
      <c r="B1065" s="1332"/>
      <c r="C1065" s="1333">
        <v>1</v>
      </c>
      <c r="D1065" s="1333"/>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590</v>
      </c>
      <c r="B1067" s="1332"/>
      <c r="C1067" s="1333">
        <v>2</v>
      </c>
      <c r="D1067" s="1333"/>
      <c r="E1067" s="1336" t="s">
        <v>2234</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590</v>
      </c>
      <c r="B1081" s="1332"/>
      <c r="C1081" s="1335">
        <v>5</v>
      </c>
      <c r="D1081" s="1335"/>
      <c r="E1081" s="1292" t="s">
        <v>2238</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590</v>
      </c>
      <c r="B1085" s="1332"/>
      <c r="C1085" s="1335">
        <v>6</v>
      </c>
      <c r="D1085" s="1335"/>
      <c r="E1085" s="1292" t="s">
        <v>2239</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590</v>
      </c>
      <c r="B1089" s="1332"/>
      <c r="C1089" s="1335">
        <v>7</v>
      </c>
      <c r="D1089" s="1335"/>
      <c r="E1089" s="1292" t="s">
        <v>2135</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590</v>
      </c>
      <c r="B1100" s="1332"/>
      <c r="C1100" s="1333">
        <v>10</v>
      </c>
      <c r="D1100" s="1333"/>
      <c r="E1100" s="1334" t="s">
        <v>2235</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590</v>
      </c>
      <c r="B1103" s="1332"/>
      <c r="C1103" s="1333">
        <v>11</v>
      </c>
      <c r="D1103" s="1333"/>
      <c r="E1103" s="1334" t="s">
        <v>2237</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9" zoomScale="115" zoomScaleNormal="115" workbookViewId="0">
      <selection activeCell="C5" sqref="C5"/>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4)GP Lone Note</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4380000</v>
      </c>
      <c r="C4" s="147">
        <f>'[1]Data Port'!$G$1254</f>
        <v>4380000</v>
      </c>
      <c r="D4" s="147"/>
      <c r="E4" s="147">
        <f>C4+D4-F4-G4-H4-I4-J4-K4</f>
        <v>4380000</v>
      </c>
      <c r="F4" s="147"/>
      <c r="G4" s="147"/>
      <c r="H4" s="147"/>
      <c r="I4" s="147"/>
      <c r="J4" s="147">
        <f>J108</f>
        <v>0</v>
      </c>
      <c r="K4" s="147"/>
      <c r="L4" s="147"/>
      <c r="M4" s="147"/>
      <c r="N4" s="147"/>
      <c r="O4" s="147"/>
      <c r="P4" s="147"/>
      <c r="Q4" s="147"/>
      <c r="R4" s="516">
        <f>SUM(E4:Q4)</f>
        <v>4380000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195000</v>
      </c>
      <c r="C6" s="147">
        <f>'[1]Data Port'!$G$1256</f>
        <v>195000</v>
      </c>
      <c r="D6" s="147"/>
      <c r="E6" s="147">
        <f t="shared" si="0"/>
        <v>195000</v>
      </c>
      <c r="F6" s="147"/>
      <c r="G6" s="147"/>
      <c r="H6" s="147"/>
      <c r="I6" s="147"/>
      <c r="J6" s="147"/>
      <c r="K6" s="147"/>
      <c r="L6" s="147"/>
      <c r="M6" s="147"/>
      <c r="N6" s="147"/>
      <c r="O6" s="147"/>
      <c r="P6" s="147"/>
      <c r="Q6" s="147"/>
      <c r="R6" s="516">
        <f>SUM(E6:Q6)</f>
        <v>195000</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4575000</v>
      </c>
      <c r="C8" s="146">
        <f t="shared" ref="C8:Q8" si="1">SUM(C4:C7)</f>
        <v>4575000</v>
      </c>
      <c r="D8" s="146">
        <f t="shared" si="1"/>
        <v>0</v>
      </c>
      <c r="E8" s="146">
        <f t="shared" si="1"/>
        <v>4575000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4575000</v>
      </c>
      <c r="S8" s="148"/>
      <c r="T8" s="148"/>
      <c r="U8" s="143"/>
    </row>
    <row r="9" spans="1:21" s="144" customFormat="1">
      <c r="A9" s="145" t="s">
        <v>593</v>
      </c>
      <c r="B9" s="146">
        <f>SUM(C9+D9)</f>
        <v>250000</v>
      </c>
      <c r="C9" s="147">
        <f>'[1]Data Port'!$G$1258</f>
        <v>250000</v>
      </c>
      <c r="D9" s="147"/>
      <c r="E9" s="147">
        <f t="shared" ref="E9:E10" si="2">C9+D9-F9-G9-H9-I9-J9-K9</f>
        <v>250000</v>
      </c>
      <c r="F9" s="147"/>
      <c r="G9" s="147"/>
      <c r="H9" s="147"/>
      <c r="I9" s="147"/>
      <c r="J9" s="147"/>
      <c r="K9" s="147"/>
      <c r="L9" s="147"/>
      <c r="M9" s="147"/>
      <c r="N9" s="147"/>
      <c r="O9" s="147"/>
      <c r="P9" s="147"/>
      <c r="Q9" s="147"/>
      <c r="R9" s="516">
        <f>SUM(E9:Q9)</f>
        <v>250000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ht="12">
      <c r="A11" s="149" t="s">
        <v>595</v>
      </c>
      <c r="B11" s="146">
        <f>SUM(C11:D11)</f>
        <v>250000</v>
      </c>
      <c r="C11" s="146">
        <f t="shared" ref="C11:Q11" si="3">SUM(C9:C10)</f>
        <v>250000</v>
      </c>
      <c r="D11" s="146">
        <f t="shared" si="3"/>
        <v>0</v>
      </c>
      <c r="E11" s="146">
        <f t="shared" si="3"/>
        <v>250000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250000</v>
      </c>
      <c r="S11" s="148"/>
      <c r="T11" s="150">
        <f>SUM(T9:T10)</f>
        <v>0</v>
      </c>
      <c r="U11" s="143"/>
    </row>
    <row r="12" spans="1:21" s="144" customFormat="1" ht="12">
      <c r="A12" s="149" t="s">
        <v>84</v>
      </c>
      <c r="B12" s="146">
        <f t="shared" ref="B12:Q12" si="4">SUM(B8+B11)</f>
        <v>4825000</v>
      </c>
      <c r="C12" s="146">
        <f t="shared" si="4"/>
        <v>4825000</v>
      </c>
      <c r="D12" s="146">
        <f t="shared" si="4"/>
        <v>0</v>
      </c>
      <c r="E12" s="146">
        <f t="shared" si="4"/>
        <v>4825000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4825000</v>
      </c>
      <c r="S12" s="148"/>
      <c r="T12" s="148"/>
      <c r="U12" s="143"/>
    </row>
    <row r="13" spans="1:21" s="144" customFormat="1">
      <c r="A13" s="287" t="s">
        <v>901</v>
      </c>
      <c r="B13" s="146">
        <f>SUM(C13+D13)</f>
        <v>1755425</v>
      </c>
      <c r="C13" s="147">
        <f>'[1]Data Port'!$G$1260</f>
        <v>1755425</v>
      </c>
      <c r="D13" s="147"/>
      <c r="E13" s="147">
        <f t="shared" ref="E13:E15" si="5">C13+D13-F13-G13-H13-I13-J13-K13</f>
        <v>1755425</v>
      </c>
      <c r="F13" s="147"/>
      <c r="G13" s="147"/>
      <c r="H13" s="147"/>
      <c r="I13" s="147"/>
      <c r="J13" s="147"/>
      <c r="K13" s="147"/>
      <c r="L13" s="147"/>
      <c r="M13" s="147"/>
      <c r="N13" s="147"/>
      <c r="O13" s="147"/>
      <c r="P13" s="147"/>
      <c r="Q13" s="147"/>
      <c r="R13" s="516">
        <f>SUM(E13:Q13)</f>
        <v>1755425</v>
      </c>
      <c r="S13" s="147">
        <f t="shared" ref="S13:S14" si="6">C13</f>
        <v>1755425</v>
      </c>
      <c r="T13" s="147"/>
      <c r="U13" s="143"/>
    </row>
    <row r="14" spans="1:21" s="144" customFormat="1" ht="22.8">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ht="12">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ht="12">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93321</v>
      </c>
      <c r="C29" s="147">
        <f>'[1]Data Port'!$G$1264</f>
        <v>93321</v>
      </c>
      <c r="D29" s="147"/>
      <c r="E29" s="147">
        <f t="shared" ref="E29:E37" si="14">C29+D29-F29-G29-H29-I29-J29-K29</f>
        <v>0</v>
      </c>
      <c r="F29" s="147">
        <f>C29+D29</f>
        <v>93321</v>
      </c>
      <c r="G29" s="147"/>
      <c r="H29" s="147"/>
      <c r="I29" s="147"/>
      <c r="J29" s="147"/>
      <c r="K29" s="147"/>
      <c r="L29" s="147"/>
      <c r="M29" s="147"/>
      <c r="N29" s="147"/>
      <c r="O29" s="147"/>
      <c r="P29" s="147"/>
      <c r="Q29" s="147"/>
      <c r="R29" s="516">
        <f t="shared" ref="R29:R37" si="15">SUM(E29:Q29)</f>
        <v>93321</v>
      </c>
      <c r="S29" s="147">
        <v>0</v>
      </c>
      <c r="T29" s="147"/>
      <c r="U29" s="143"/>
    </row>
    <row r="30" spans="1:21" s="144" customFormat="1">
      <c r="A30" s="145" t="s">
        <v>598</v>
      </c>
      <c r="B30" s="146">
        <f t="shared" si="13"/>
        <v>30373825</v>
      </c>
      <c r="C30" s="147">
        <f>'[1]Data Port'!$G$1265-D30</f>
        <v>30373825</v>
      </c>
      <c r="D30" s="147">
        <f>'[1]Data Port'!$D$1347</f>
        <v>0</v>
      </c>
      <c r="E30" s="147">
        <f t="shared" si="14"/>
        <v>93321</v>
      </c>
      <c r="F30" s="147">
        <f>MIN(C30+D30-F29,Application!AO627-'Sources and Uses Budget'!F29)-G30-H30-I30-J30-K30</f>
        <v>27760504</v>
      </c>
      <c r="G30" s="147"/>
      <c r="H30" s="147"/>
      <c r="I30" s="147">
        <f>I108</f>
        <v>2520000</v>
      </c>
      <c r="J30" s="147"/>
      <c r="K30" s="147"/>
      <c r="L30" s="147"/>
      <c r="M30" s="147"/>
      <c r="N30" s="147"/>
      <c r="O30" s="147"/>
      <c r="P30" s="147"/>
      <c r="Q30" s="147"/>
      <c r="R30" s="516">
        <f t="shared" si="15"/>
        <v>30373825</v>
      </c>
      <c r="S30" s="147">
        <f t="shared" ref="S30:S37" si="16">C30</f>
        <v>30373825</v>
      </c>
      <c r="T30" s="147"/>
      <c r="U30" s="143"/>
    </row>
    <row r="31" spans="1:21" s="144" customFormat="1">
      <c r="A31" s="145" t="s">
        <v>599</v>
      </c>
      <c r="B31" s="146">
        <f t="shared" si="13"/>
        <v>1026982</v>
      </c>
      <c r="C31" s="147">
        <f>'[1]Data Port'!$G$1266</f>
        <v>1026982</v>
      </c>
      <c r="D31" s="147"/>
      <c r="E31" s="147">
        <f t="shared" si="14"/>
        <v>0</v>
      </c>
      <c r="F31" s="147">
        <f>B31</f>
        <v>1026982</v>
      </c>
      <c r="G31" s="147"/>
      <c r="H31" s="147"/>
      <c r="I31" s="147"/>
      <c r="J31" s="147"/>
      <c r="K31" s="147"/>
      <c r="L31" s="147"/>
      <c r="M31" s="147"/>
      <c r="N31" s="147"/>
      <c r="O31" s="147"/>
      <c r="P31" s="147"/>
      <c r="Q31" s="147"/>
      <c r="R31" s="516">
        <f t="shared" si="15"/>
        <v>1026982</v>
      </c>
      <c r="S31" s="147">
        <f t="shared" si="16"/>
        <v>1026982</v>
      </c>
      <c r="T31" s="147"/>
      <c r="U31" s="143"/>
    </row>
    <row r="32" spans="1:21" s="144" customFormat="1">
      <c r="A32" s="145" t="s">
        <v>137</v>
      </c>
      <c r="B32" s="146">
        <f t="shared" si="13"/>
        <v>1369310</v>
      </c>
      <c r="C32" s="147">
        <f>'[1]Data Port'!$G$1267</f>
        <v>1369310</v>
      </c>
      <c r="D32" s="147"/>
      <c r="E32" s="147">
        <f t="shared" si="14"/>
        <v>0</v>
      </c>
      <c r="F32" s="147">
        <f>C32</f>
        <v>1369310</v>
      </c>
      <c r="G32" s="147"/>
      <c r="H32" s="147"/>
      <c r="I32" s="147"/>
      <c r="J32" s="147"/>
      <c r="K32" s="147"/>
      <c r="L32" s="147"/>
      <c r="M32" s="147"/>
      <c r="N32" s="147"/>
      <c r="O32" s="147"/>
      <c r="P32" s="147"/>
      <c r="Q32" s="147"/>
      <c r="R32" s="516">
        <f t="shared" si="15"/>
        <v>1369310</v>
      </c>
      <c r="S32" s="147">
        <f t="shared" si="16"/>
        <v>1369310</v>
      </c>
      <c r="T32" s="147"/>
      <c r="U32" s="143"/>
    </row>
    <row r="33" spans="1:21" s="144" customFormat="1">
      <c r="A33" s="145" t="s">
        <v>138</v>
      </c>
      <c r="B33" s="146">
        <f t="shared" si="13"/>
        <v>1369310</v>
      </c>
      <c r="C33" s="147">
        <f>'[1]Data Port'!$G$1268</f>
        <v>1369310</v>
      </c>
      <c r="D33" s="147"/>
      <c r="E33" s="147">
        <f t="shared" si="14"/>
        <v>0</v>
      </c>
      <c r="F33" s="147">
        <f>C33</f>
        <v>1369310</v>
      </c>
      <c r="G33" s="147"/>
      <c r="H33" s="147"/>
      <c r="I33" s="147"/>
      <c r="J33" s="147"/>
      <c r="K33" s="147"/>
      <c r="L33" s="147"/>
      <c r="M33" s="147"/>
      <c r="N33" s="147"/>
      <c r="O33" s="147"/>
      <c r="P33" s="147"/>
      <c r="Q33" s="147"/>
      <c r="R33" s="516">
        <f t="shared" si="15"/>
        <v>1369310</v>
      </c>
      <c r="S33" s="147">
        <f t="shared" si="16"/>
        <v>1369310</v>
      </c>
      <c r="T33" s="147"/>
      <c r="U33" s="143"/>
    </row>
    <row r="34" spans="1:21" s="144" customFormat="1">
      <c r="A34" s="145" t="s">
        <v>139</v>
      </c>
      <c r="B34" s="146">
        <f t="shared" si="13"/>
        <v>0</v>
      </c>
      <c r="C34" s="147">
        <f>'[1]Data Port'!$G$1269</f>
        <v>0</v>
      </c>
      <c r="D34" s="147"/>
      <c r="E34" s="147">
        <f t="shared" si="14"/>
        <v>0</v>
      </c>
      <c r="F34" s="147">
        <f t="shared" ref="F34:F37" si="17">C34</f>
        <v>0</v>
      </c>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f t="shared" si="17"/>
        <v>0</v>
      </c>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si="13"/>
        <v>468000</v>
      </c>
      <c r="C36" s="147">
        <f>'[1]Data Port'!$G$1271</f>
        <v>468000</v>
      </c>
      <c r="D36" s="147"/>
      <c r="E36" s="147">
        <f t="shared" si="14"/>
        <v>0</v>
      </c>
      <c r="F36" s="147">
        <f t="shared" si="17"/>
        <v>468000</v>
      </c>
      <c r="G36" s="147"/>
      <c r="H36" s="147"/>
      <c r="I36" s="147"/>
      <c r="J36" s="147"/>
      <c r="K36" s="147"/>
      <c r="L36" s="147"/>
      <c r="M36" s="147"/>
      <c r="N36" s="147"/>
      <c r="O36" s="147"/>
      <c r="P36" s="147"/>
      <c r="Q36" s="147"/>
      <c r="R36" s="516">
        <f t="shared" si="15"/>
        <v>468000</v>
      </c>
      <c r="S36" s="147">
        <f t="shared" si="16"/>
        <v>468000</v>
      </c>
      <c r="T36" s="147"/>
      <c r="U36" s="143"/>
    </row>
    <row r="37" spans="1:21" s="144" customFormat="1">
      <c r="A37" s="1149" t="str">
        <f>'[1]Data Port'!$B$1272</f>
        <v>Contractor Contigency</v>
      </c>
      <c r="B37" s="146">
        <f t="shared" si="13"/>
        <v>1196396</v>
      </c>
      <c r="C37" s="147">
        <f>'[1]Data Port'!$G$1272</f>
        <v>1196396</v>
      </c>
      <c r="D37" s="147"/>
      <c r="E37" s="147">
        <f t="shared" si="14"/>
        <v>0</v>
      </c>
      <c r="F37" s="147">
        <f t="shared" si="17"/>
        <v>1196396</v>
      </c>
      <c r="G37" s="147"/>
      <c r="H37" s="147"/>
      <c r="I37" s="147"/>
      <c r="J37" s="147"/>
      <c r="K37" s="147"/>
      <c r="L37" s="147"/>
      <c r="M37" s="147"/>
      <c r="N37" s="147"/>
      <c r="O37" s="147"/>
      <c r="P37" s="147"/>
      <c r="Q37" s="147"/>
      <c r="R37" s="516">
        <f t="shared" si="15"/>
        <v>1196396</v>
      </c>
      <c r="S37" s="147">
        <f t="shared" si="16"/>
        <v>1196396</v>
      </c>
      <c r="T37" s="147"/>
      <c r="U37" s="143"/>
    </row>
    <row r="38" spans="1:21" s="144" customFormat="1" ht="12">
      <c r="A38" s="149" t="s">
        <v>143</v>
      </c>
      <c r="B38" s="146">
        <f t="shared" si="13"/>
        <v>35897144</v>
      </c>
      <c r="C38" s="146">
        <f>SUM(C29:C37)</f>
        <v>35897144</v>
      </c>
      <c r="D38" s="146">
        <f t="shared" ref="D38:Q38" si="18">SUM(D29:D37)</f>
        <v>0</v>
      </c>
      <c r="E38" s="146">
        <f t="shared" si="18"/>
        <v>93321</v>
      </c>
      <c r="F38" s="146">
        <f t="shared" si="18"/>
        <v>33283823</v>
      </c>
      <c r="G38" s="146">
        <f t="shared" si="18"/>
        <v>0</v>
      </c>
      <c r="H38" s="146">
        <f t="shared" si="18"/>
        <v>0</v>
      </c>
      <c r="I38" s="146">
        <f t="shared" si="18"/>
        <v>2520000</v>
      </c>
      <c r="J38" s="146">
        <f t="shared" si="18"/>
        <v>0</v>
      </c>
      <c r="K38" s="146">
        <f t="shared" si="18"/>
        <v>0</v>
      </c>
      <c r="L38" s="146">
        <f t="shared" si="18"/>
        <v>0</v>
      </c>
      <c r="M38" s="146">
        <f t="shared" si="18"/>
        <v>0</v>
      </c>
      <c r="N38" s="146">
        <f t="shared" si="18"/>
        <v>0</v>
      </c>
      <c r="O38" s="146">
        <f t="shared" si="18"/>
        <v>0</v>
      </c>
      <c r="P38" s="146">
        <f t="shared" si="18"/>
        <v>0</v>
      </c>
      <c r="Q38" s="146">
        <f t="shared" si="18"/>
        <v>0</v>
      </c>
      <c r="R38" s="342">
        <f>SUM(R29:R37)</f>
        <v>35897144</v>
      </c>
      <c r="S38" s="150">
        <f>SUM(S29:S37)</f>
        <v>35803823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f>'[1]Data Port'!$G$1274</f>
        <v>850000</v>
      </c>
      <c r="D40" s="147"/>
      <c r="E40" s="147">
        <f t="shared" ref="E40:E41" si="19">C40+D40-F40-G40-H40-I40-J40-K40</f>
        <v>34277</v>
      </c>
      <c r="F40" s="147">
        <f>F108-F38</f>
        <v>815723</v>
      </c>
      <c r="G40" s="147"/>
      <c r="H40" s="147"/>
      <c r="I40" s="147"/>
      <c r="J40" s="147"/>
      <c r="K40" s="147"/>
      <c r="L40" s="147"/>
      <c r="M40" s="147"/>
      <c r="N40" s="147"/>
      <c r="O40" s="147"/>
      <c r="P40" s="147"/>
      <c r="Q40" s="147"/>
      <c r="R40" s="516">
        <f>SUM(E40:Q40)</f>
        <v>850000</v>
      </c>
      <c r="S40" s="147">
        <f t="shared" ref="S40:S41" si="20">C40</f>
        <v>850000</v>
      </c>
      <c r="T40" s="147"/>
      <c r="U40" s="143"/>
    </row>
    <row r="41" spans="1:21" s="144" customFormat="1">
      <c r="A41" s="145" t="s">
        <v>146</v>
      </c>
      <c r="B41" s="146">
        <f>SUM(C41+D41)</f>
        <v>300000</v>
      </c>
      <c r="C41" s="147">
        <f>'[1]Data Port'!$G$1275</f>
        <v>300000</v>
      </c>
      <c r="D41" s="147"/>
      <c r="E41" s="147">
        <f t="shared" si="19"/>
        <v>300000</v>
      </c>
      <c r="F41" s="147"/>
      <c r="G41" s="147"/>
      <c r="H41" s="147"/>
      <c r="I41" s="147"/>
      <c r="J41" s="147"/>
      <c r="K41" s="147"/>
      <c r="L41" s="147"/>
      <c r="M41" s="147"/>
      <c r="N41" s="147"/>
      <c r="O41" s="147"/>
      <c r="P41" s="147"/>
      <c r="Q41" s="147"/>
      <c r="R41" s="516">
        <f>SUM(E41:Q41)</f>
        <v>300000</v>
      </c>
      <c r="S41" s="147">
        <f t="shared" si="20"/>
        <v>300000</v>
      </c>
      <c r="T41" s="147"/>
      <c r="U41" s="143"/>
    </row>
    <row r="42" spans="1:21" s="144" customFormat="1" ht="12">
      <c r="A42" s="149" t="s">
        <v>147</v>
      </c>
      <c r="B42" s="146">
        <f>SUM(C42:D42)</f>
        <v>1150000</v>
      </c>
      <c r="C42" s="146">
        <f>SUM(C39:C41)</f>
        <v>1150000</v>
      </c>
      <c r="D42" s="146">
        <f>SUM(D39:D41)</f>
        <v>0</v>
      </c>
      <c r="E42" s="146">
        <f t="shared" ref="E42:T42" si="21">SUM(E40:E41)</f>
        <v>334277</v>
      </c>
      <c r="F42" s="146">
        <f t="shared" si="21"/>
        <v>815723</v>
      </c>
      <c r="G42" s="146">
        <f t="shared" si="21"/>
        <v>0</v>
      </c>
      <c r="H42" s="146">
        <f t="shared" si="21"/>
        <v>0</v>
      </c>
      <c r="I42" s="146">
        <f t="shared" si="21"/>
        <v>0</v>
      </c>
      <c r="J42" s="146">
        <f t="shared" si="21"/>
        <v>0</v>
      </c>
      <c r="K42" s="146">
        <f t="shared" si="21"/>
        <v>0</v>
      </c>
      <c r="L42" s="146">
        <f t="shared" si="21"/>
        <v>0</v>
      </c>
      <c r="M42" s="146">
        <f t="shared" si="21"/>
        <v>0</v>
      </c>
      <c r="N42" s="146">
        <f t="shared" si="21"/>
        <v>0</v>
      </c>
      <c r="O42" s="146">
        <f t="shared" si="21"/>
        <v>0</v>
      </c>
      <c r="P42" s="146">
        <f t="shared" si="21"/>
        <v>0</v>
      </c>
      <c r="Q42" s="146">
        <f t="shared" si="21"/>
        <v>0</v>
      </c>
      <c r="R42" s="342">
        <f>SUM(R40:R41)</f>
        <v>1150000</v>
      </c>
      <c r="S42" s="150">
        <f t="shared" si="21"/>
        <v>1150000</v>
      </c>
      <c r="T42" s="150">
        <f t="shared" si="21"/>
        <v>0</v>
      </c>
      <c r="U42" s="143"/>
    </row>
    <row r="43" spans="1:21" s="144" customFormat="1" ht="12">
      <c r="A43" s="149" t="s">
        <v>148</v>
      </c>
      <c r="B43" s="146">
        <f>SUM(C43:D43)</f>
        <v>2450000</v>
      </c>
      <c r="C43" s="147">
        <f>'[1]Data Port'!$G$1276</f>
        <v>2450000</v>
      </c>
      <c r="D43" s="147"/>
      <c r="E43" s="147">
        <f>C43+D43-F43-G43-H43-I43-J43-K43</f>
        <v>2450000</v>
      </c>
      <c r="F43" s="147"/>
      <c r="G43" s="147"/>
      <c r="H43" s="147"/>
      <c r="I43" s="147"/>
      <c r="J43" s="147"/>
      <c r="K43" s="147"/>
      <c r="L43" s="147"/>
      <c r="M43" s="147"/>
      <c r="N43" s="147"/>
      <c r="O43" s="147"/>
      <c r="P43" s="147"/>
      <c r="Q43" s="147"/>
      <c r="R43" s="516">
        <f>SUM(E43:Q43)</f>
        <v>2450000</v>
      </c>
      <c r="S43" s="147">
        <f t="shared" ref="S43" si="22">C43</f>
        <v>2450000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3">SUM(C45+D45)</f>
        <v>3820109</v>
      </c>
      <c r="C45" s="147">
        <f>'[1]Data Port'!$G$1278</f>
        <v>3820109</v>
      </c>
      <c r="D45" s="147"/>
      <c r="E45" s="147">
        <f t="shared" ref="E45:E53" si="24">C45+D45-F45-G45-H45-I45-J45-K45</f>
        <v>3820109</v>
      </c>
      <c r="F45" s="147"/>
      <c r="G45" s="147"/>
      <c r="H45" s="147"/>
      <c r="I45" s="147"/>
      <c r="J45" s="147"/>
      <c r="K45" s="147"/>
      <c r="L45" s="147"/>
      <c r="M45" s="147"/>
      <c r="N45" s="147"/>
      <c r="O45" s="147"/>
      <c r="P45" s="147"/>
      <c r="Q45" s="147"/>
      <c r="R45" s="516">
        <f t="shared" ref="R45:R53" si="25">SUM(E45:Q45)</f>
        <v>3820109</v>
      </c>
      <c r="S45" s="147">
        <f>ROUND('[1]Data Port'!$G$1279,)</f>
        <v>2477768</v>
      </c>
      <c r="T45" s="147"/>
      <c r="U45" s="143"/>
    </row>
    <row r="46" spans="1:21" s="144" customFormat="1">
      <c r="A46" s="145" t="s">
        <v>151</v>
      </c>
      <c r="B46" s="146">
        <f t="shared" si="23"/>
        <v>449045</v>
      </c>
      <c r="C46" s="147">
        <f>'[1]Data Port'!$G$1282</f>
        <v>449045</v>
      </c>
      <c r="D46" s="147"/>
      <c r="E46" s="147">
        <f t="shared" si="24"/>
        <v>449045</v>
      </c>
      <c r="F46" s="147"/>
      <c r="G46" s="147"/>
      <c r="H46" s="147"/>
      <c r="I46" s="147"/>
      <c r="J46" s="147"/>
      <c r="K46" s="147"/>
      <c r="L46" s="147"/>
      <c r="M46" s="147"/>
      <c r="N46" s="147"/>
      <c r="O46" s="147"/>
      <c r="P46" s="147"/>
      <c r="Q46" s="147"/>
      <c r="R46" s="516">
        <f t="shared" si="25"/>
        <v>449045</v>
      </c>
      <c r="S46" s="147">
        <f t="shared" ref="S46:S53" si="26">C46</f>
        <v>449045</v>
      </c>
      <c r="T46" s="147"/>
      <c r="U46" s="143"/>
    </row>
    <row r="47" spans="1:21" s="144" customFormat="1">
      <c r="A47" s="186" t="s">
        <v>152</v>
      </c>
      <c r="B47" s="146">
        <f t="shared" si="23"/>
        <v>7500</v>
      </c>
      <c r="C47" s="147">
        <f>'[1]Data Port'!$G$1283</f>
        <v>7500</v>
      </c>
      <c r="D47" s="147"/>
      <c r="E47" s="147">
        <f t="shared" si="24"/>
        <v>7500</v>
      </c>
      <c r="F47" s="147"/>
      <c r="G47" s="147"/>
      <c r="H47" s="147"/>
      <c r="I47" s="147"/>
      <c r="J47" s="147"/>
      <c r="K47" s="147"/>
      <c r="L47" s="147"/>
      <c r="M47" s="147"/>
      <c r="N47" s="147"/>
      <c r="O47" s="147"/>
      <c r="P47" s="147"/>
      <c r="Q47" s="147"/>
      <c r="R47" s="516">
        <f t="shared" si="25"/>
        <v>7500</v>
      </c>
      <c r="S47" s="147">
        <f t="shared" si="26"/>
        <v>7500</v>
      </c>
      <c r="T47" s="147"/>
      <c r="U47" s="143"/>
    </row>
    <row r="48" spans="1:21" s="144" customFormat="1">
      <c r="A48" s="145" t="s">
        <v>153</v>
      </c>
      <c r="B48" s="146">
        <f t="shared" si="23"/>
        <v>531437</v>
      </c>
      <c r="C48" s="147">
        <f>'[1]Data Port'!$G$1284</f>
        <v>531437</v>
      </c>
      <c r="D48" s="147"/>
      <c r="E48" s="147">
        <f t="shared" si="24"/>
        <v>531437</v>
      </c>
      <c r="F48" s="147"/>
      <c r="G48" s="147"/>
      <c r="H48" s="147"/>
      <c r="I48" s="147"/>
      <c r="J48" s="147"/>
      <c r="K48" s="147"/>
      <c r="L48" s="147"/>
      <c r="M48" s="147"/>
      <c r="N48" s="147"/>
      <c r="O48" s="147"/>
      <c r="P48" s="147"/>
      <c r="Q48" s="147"/>
      <c r="R48" s="516">
        <f t="shared" si="25"/>
        <v>531437</v>
      </c>
      <c r="S48" s="147">
        <f t="shared" si="26"/>
        <v>531437</v>
      </c>
      <c r="T48" s="147"/>
      <c r="U48" s="143"/>
    </row>
    <row r="49" spans="1:21" s="144" customFormat="1">
      <c r="A49" s="145" t="s">
        <v>57</v>
      </c>
      <c r="B49" s="146">
        <f t="shared" si="23"/>
        <v>49143</v>
      </c>
      <c r="C49" s="147">
        <f>'[1]Data Port'!$G$1285</f>
        <v>49143</v>
      </c>
      <c r="D49" s="147"/>
      <c r="E49" s="147">
        <f t="shared" si="24"/>
        <v>49143</v>
      </c>
      <c r="F49" s="147"/>
      <c r="G49" s="147"/>
      <c r="H49" s="147"/>
      <c r="I49" s="147"/>
      <c r="J49" s="147"/>
      <c r="K49" s="147"/>
      <c r="L49" s="147"/>
      <c r="M49" s="147"/>
      <c r="N49" s="147"/>
      <c r="O49" s="147"/>
      <c r="P49" s="147"/>
      <c r="Q49" s="147"/>
      <c r="R49" s="516">
        <f t="shared" si="25"/>
        <v>49143</v>
      </c>
      <c r="S49" s="147">
        <f t="shared" si="26"/>
        <v>49143</v>
      </c>
      <c r="T49" s="147"/>
      <c r="U49" s="143"/>
    </row>
    <row r="50" spans="1:21" s="144" customFormat="1">
      <c r="A50" s="145" t="s">
        <v>156</v>
      </c>
      <c r="B50" s="146">
        <f t="shared" si="23"/>
        <v>25000</v>
      </c>
      <c r="C50" s="147">
        <f>'[1]Data Port'!$G$1286</f>
        <v>25000</v>
      </c>
      <c r="D50" s="147"/>
      <c r="E50" s="147">
        <f t="shared" si="24"/>
        <v>25000</v>
      </c>
      <c r="F50" s="147"/>
      <c r="G50" s="147"/>
      <c r="H50" s="147"/>
      <c r="I50" s="147"/>
      <c r="J50" s="147"/>
      <c r="K50" s="147"/>
      <c r="L50" s="147"/>
      <c r="M50" s="147"/>
      <c r="N50" s="147"/>
      <c r="O50" s="147"/>
      <c r="P50" s="147"/>
      <c r="Q50" s="147"/>
      <c r="R50" s="516">
        <f t="shared" si="25"/>
        <v>25000</v>
      </c>
      <c r="S50" s="147">
        <f t="shared" si="26"/>
        <v>25000</v>
      </c>
      <c r="T50" s="147"/>
      <c r="U50" s="143"/>
    </row>
    <row r="51" spans="1:21" s="144" customFormat="1">
      <c r="A51" s="283" t="s">
        <v>154</v>
      </c>
      <c r="B51" s="146">
        <f t="shared" si="23"/>
        <v>238423</v>
      </c>
      <c r="C51" s="147">
        <f>'[1]Data Port'!$G$1287</f>
        <v>238423</v>
      </c>
      <c r="D51" s="147"/>
      <c r="E51" s="147">
        <f t="shared" si="24"/>
        <v>238423</v>
      </c>
      <c r="F51" s="147"/>
      <c r="G51" s="147"/>
      <c r="H51" s="147"/>
      <c r="I51" s="147"/>
      <c r="J51" s="147"/>
      <c r="K51" s="147"/>
      <c r="L51" s="147"/>
      <c r="M51" s="147"/>
      <c r="N51" s="147"/>
      <c r="O51" s="147"/>
      <c r="P51" s="147"/>
      <c r="Q51" s="147"/>
      <c r="R51" s="516">
        <f t="shared" si="25"/>
        <v>238423</v>
      </c>
      <c r="S51" s="147">
        <f t="shared" si="26"/>
        <v>238423</v>
      </c>
      <c r="T51" s="147"/>
      <c r="U51" s="143"/>
    </row>
    <row r="52" spans="1:21" s="144" customFormat="1">
      <c r="A52" s="145" t="s">
        <v>155</v>
      </c>
      <c r="B52" s="146">
        <f t="shared" si="23"/>
        <v>427905</v>
      </c>
      <c r="C52" s="147">
        <f>'[1]Data Port'!$G$1288</f>
        <v>427905</v>
      </c>
      <c r="D52" s="147"/>
      <c r="E52" s="147">
        <f t="shared" si="24"/>
        <v>427905</v>
      </c>
      <c r="F52" s="147"/>
      <c r="G52" s="147"/>
      <c r="H52" s="147"/>
      <c r="I52" s="147"/>
      <c r="J52" s="147"/>
      <c r="K52" s="147"/>
      <c r="L52" s="147"/>
      <c r="M52" s="147"/>
      <c r="N52" s="147"/>
      <c r="O52" s="147"/>
      <c r="P52" s="147"/>
      <c r="Q52" s="147"/>
      <c r="R52" s="516">
        <f t="shared" si="25"/>
        <v>427905</v>
      </c>
      <c r="S52" s="147">
        <f t="shared" si="26"/>
        <v>427905</v>
      </c>
      <c r="T52" s="147"/>
      <c r="U52" s="143"/>
    </row>
    <row r="53" spans="1:21" s="144" customFormat="1">
      <c r="A53" s="1149" t="str">
        <f>'[1]Data Port'!$B$1289</f>
        <v>Lender Inspections</v>
      </c>
      <c r="B53" s="146">
        <f t="shared" si="23"/>
        <v>30000</v>
      </c>
      <c r="C53" s="147">
        <f>'[1]Data Port'!$G$1289</f>
        <v>30000</v>
      </c>
      <c r="D53" s="147"/>
      <c r="E53" s="147">
        <f t="shared" si="24"/>
        <v>30000</v>
      </c>
      <c r="F53" s="147"/>
      <c r="G53" s="147"/>
      <c r="H53" s="147"/>
      <c r="I53" s="147"/>
      <c r="J53" s="147"/>
      <c r="K53" s="147"/>
      <c r="L53" s="147"/>
      <c r="M53" s="147"/>
      <c r="N53" s="147"/>
      <c r="O53" s="147"/>
      <c r="P53" s="147"/>
      <c r="Q53" s="147"/>
      <c r="R53" s="516">
        <f t="shared" si="25"/>
        <v>30000</v>
      </c>
      <c r="S53" s="147">
        <f t="shared" si="26"/>
        <v>30000</v>
      </c>
      <c r="T53" s="147"/>
      <c r="U53" s="143"/>
    </row>
    <row r="54" spans="1:21" s="153" customFormat="1" ht="12">
      <c r="A54" s="149" t="s">
        <v>157</v>
      </c>
      <c r="B54" s="150">
        <f>SUM(C54:D54)</f>
        <v>5578562</v>
      </c>
      <c r="C54" s="150">
        <f t="shared" ref="C54:T54" si="27">SUM(C45:C53)</f>
        <v>5578562</v>
      </c>
      <c r="D54" s="150">
        <f t="shared" si="27"/>
        <v>0</v>
      </c>
      <c r="E54" s="150">
        <f t="shared" si="27"/>
        <v>5578562</v>
      </c>
      <c r="F54" s="150">
        <f t="shared" si="27"/>
        <v>0</v>
      </c>
      <c r="G54" s="150">
        <f t="shared" si="27"/>
        <v>0</v>
      </c>
      <c r="H54" s="150">
        <f t="shared" si="27"/>
        <v>0</v>
      </c>
      <c r="I54" s="150">
        <f t="shared" si="27"/>
        <v>0</v>
      </c>
      <c r="J54" s="150">
        <f t="shared" si="27"/>
        <v>0</v>
      </c>
      <c r="K54" s="150">
        <f t="shared" si="27"/>
        <v>0</v>
      </c>
      <c r="L54" s="150">
        <f t="shared" si="27"/>
        <v>0</v>
      </c>
      <c r="M54" s="150">
        <f t="shared" si="27"/>
        <v>0</v>
      </c>
      <c r="N54" s="150">
        <f t="shared" si="27"/>
        <v>0</v>
      </c>
      <c r="O54" s="150">
        <f t="shared" si="27"/>
        <v>0</v>
      </c>
      <c r="P54" s="150">
        <f t="shared" si="27"/>
        <v>0</v>
      </c>
      <c r="Q54" s="150">
        <f t="shared" si="27"/>
        <v>0</v>
      </c>
      <c r="R54" s="342">
        <f t="shared" si="27"/>
        <v>5578562</v>
      </c>
      <c r="S54" s="150">
        <f t="shared" si="27"/>
        <v>4236221</v>
      </c>
      <c r="T54" s="150">
        <f t="shared" si="2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8">SUM(C56+D56)</f>
        <v>340995</v>
      </c>
      <c r="C56" s="147">
        <f>'[1]Data Port'!$G$1291</f>
        <v>340995</v>
      </c>
      <c r="D56" s="147"/>
      <c r="E56" s="147">
        <f t="shared" ref="E56:E61" si="29">C56+D56-F56-G56-H56-I56-J56-K56</f>
        <v>340995</v>
      </c>
      <c r="F56" s="147"/>
      <c r="G56" s="147"/>
      <c r="H56" s="147"/>
      <c r="I56" s="147"/>
      <c r="J56" s="147"/>
      <c r="K56" s="147"/>
      <c r="L56" s="147"/>
      <c r="M56" s="147"/>
      <c r="N56" s="147"/>
      <c r="O56" s="147"/>
      <c r="P56" s="147"/>
      <c r="Q56" s="147"/>
      <c r="R56" s="516">
        <f t="shared" ref="R56:R61" si="30">SUM(E56:Q56)</f>
        <v>340995</v>
      </c>
      <c r="S56" s="148"/>
      <c r="T56" s="148"/>
      <c r="U56" s="143"/>
    </row>
    <row r="57" spans="1:21" s="192" customFormat="1">
      <c r="A57" s="186" t="s">
        <v>152</v>
      </c>
      <c r="B57" s="193">
        <f t="shared" si="28"/>
        <v>0</v>
      </c>
      <c r="C57" s="190">
        <f>'[1]Data Port'!$G$1292</f>
        <v>0</v>
      </c>
      <c r="D57" s="190"/>
      <c r="E57" s="190">
        <f t="shared" si="29"/>
        <v>0</v>
      </c>
      <c r="F57" s="190"/>
      <c r="G57" s="190"/>
      <c r="H57" s="190"/>
      <c r="I57" s="190"/>
      <c r="J57" s="190"/>
      <c r="K57" s="190"/>
      <c r="L57" s="190"/>
      <c r="M57" s="190"/>
      <c r="N57" s="190"/>
      <c r="O57" s="190"/>
      <c r="P57" s="190"/>
      <c r="Q57" s="190"/>
      <c r="R57" s="516">
        <f t="shared" si="30"/>
        <v>0</v>
      </c>
      <c r="S57" s="194"/>
      <c r="T57" s="194"/>
      <c r="U57" s="191"/>
    </row>
    <row r="58" spans="1:21" s="144" customFormat="1">
      <c r="A58" s="145" t="s">
        <v>156</v>
      </c>
      <c r="B58" s="146">
        <f t="shared" si="28"/>
        <v>25000</v>
      </c>
      <c r="C58" s="147">
        <f>'[1]Data Port'!$G$1293</f>
        <v>25000</v>
      </c>
      <c r="D58" s="147"/>
      <c r="E58" s="147">
        <f t="shared" si="29"/>
        <v>25000</v>
      </c>
      <c r="F58" s="147"/>
      <c r="G58" s="147"/>
      <c r="H58" s="147"/>
      <c r="I58" s="147"/>
      <c r="J58" s="147"/>
      <c r="K58" s="147"/>
      <c r="L58" s="147"/>
      <c r="M58" s="147"/>
      <c r="N58" s="147"/>
      <c r="O58" s="147"/>
      <c r="P58" s="147"/>
      <c r="Q58" s="147"/>
      <c r="R58" s="516">
        <f t="shared" si="30"/>
        <v>25000</v>
      </c>
      <c r="S58" s="148"/>
      <c r="T58" s="148"/>
      <c r="U58" s="143"/>
    </row>
    <row r="59" spans="1:21" s="144" customFormat="1">
      <c r="A59" s="283" t="s">
        <v>154</v>
      </c>
      <c r="B59" s="146">
        <f t="shared" si="28"/>
        <v>0</v>
      </c>
      <c r="C59" s="147">
        <f>'[1]Data Port'!$G$1294</f>
        <v>0</v>
      </c>
      <c r="D59" s="147"/>
      <c r="E59" s="147">
        <f t="shared" si="29"/>
        <v>0</v>
      </c>
      <c r="F59" s="147"/>
      <c r="G59" s="147"/>
      <c r="H59" s="147"/>
      <c r="I59" s="147"/>
      <c r="J59" s="147"/>
      <c r="K59" s="147"/>
      <c r="L59" s="147"/>
      <c r="M59" s="147"/>
      <c r="N59" s="147"/>
      <c r="O59" s="147"/>
      <c r="P59" s="147"/>
      <c r="Q59" s="147"/>
      <c r="R59" s="516">
        <f t="shared" si="30"/>
        <v>0</v>
      </c>
      <c r="S59" s="148"/>
      <c r="T59" s="148"/>
      <c r="U59" s="143"/>
    </row>
    <row r="60" spans="1:21" s="144" customFormat="1">
      <c r="A60" s="145" t="s">
        <v>155</v>
      </c>
      <c r="B60" s="146">
        <f t="shared" si="28"/>
        <v>0</v>
      </c>
      <c r="C60" s="147">
        <f>'[1]Data Port'!$G$1295</f>
        <v>0</v>
      </c>
      <c r="D60" s="147"/>
      <c r="E60" s="147">
        <f t="shared" si="29"/>
        <v>0</v>
      </c>
      <c r="F60" s="147"/>
      <c r="G60" s="147"/>
      <c r="H60" s="147"/>
      <c r="I60" s="147"/>
      <c r="J60" s="147"/>
      <c r="K60" s="147"/>
      <c r="L60" s="147"/>
      <c r="M60" s="147"/>
      <c r="N60" s="147"/>
      <c r="O60" s="147"/>
      <c r="P60" s="147"/>
      <c r="Q60" s="147"/>
      <c r="R60" s="516">
        <f t="shared" si="30"/>
        <v>0</v>
      </c>
      <c r="S60" s="148"/>
      <c r="T60" s="148"/>
      <c r="U60" s="143"/>
    </row>
    <row r="61" spans="1:21" s="144" customFormat="1" ht="22.8">
      <c r="A61" s="1149" t="str">
        <f>'[1]Data Port'!$B$1296</f>
        <v>Other: Misc due dilligence and applicant legal and Misc</v>
      </c>
      <c r="B61" s="146">
        <f t="shared" si="28"/>
        <v>90000</v>
      </c>
      <c r="C61" s="147">
        <f>'[1]Data Port'!$G$1296</f>
        <v>90000</v>
      </c>
      <c r="D61" s="147"/>
      <c r="E61" s="147">
        <f t="shared" si="29"/>
        <v>90000</v>
      </c>
      <c r="F61" s="147"/>
      <c r="G61" s="147"/>
      <c r="H61" s="147"/>
      <c r="I61" s="147"/>
      <c r="J61" s="147"/>
      <c r="K61" s="147"/>
      <c r="L61" s="147"/>
      <c r="M61" s="147"/>
      <c r="N61" s="147"/>
      <c r="O61" s="147"/>
      <c r="P61" s="147"/>
      <c r="Q61" s="147"/>
      <c r="R61" s="516">
        <f t="shared" si="30"/>
        <v>90000</v>
      </c>
      <c r="S61" s="148"/>
      <c r="T61" s="148"/>
      <c r="U61" s="143"/>
    </row>
    <row r="62" spans="1:21" s="144" customFormat="1" ht="13.65" customHeight="1">
      <c r="A62" s="149" t="s">
        <v>301</v>
      </c>
      <c r="B62" s="146">
        <f>SUM(C62:D62)</f>
        <v>455995</v>
      </c>
      <c r="C62" s="146">
        <f t="shared" ref="C62:R62" si="31">SUM(C56:C61)</f>
        <v>455995</v>
      </c>
      <c r="D62" s="146">
        <f t="shared" si="31"/>
        <v>0</v>
      </c>
      <c r="E62" s="146">
        <f t="shared" si="31"/>
        <v>455995</v>
      </c>
      <c r="F62" s="146">
        <f t="shared" si="31"/>
        <v>0</v>
      </c>
      <c r="G62" s="146">
        <f t="shared" si="31"/>
        <v>0</v>
      </c>
      <c r="H62" s="146">
        <f t="shared" si="31"/>
        <v>0</v>
      </c>
      <c r="I62" s="146">
        <f t="shared" si="31"/>
        <v>0</v>
      </c>
      <c r="J62" s="146">
        <f t="shared" si="31"/>
        <v>0</v>
      </c>
      <c r="K62" s="146">
        <f t="shared" si="31"/>
        <v>0</v>
      </c>
      <c r="L62" s="146">
        <f t="shared" si="31"/>
        <v>0</v>
      </c>
      <c r="M62" s="146">
        <f t="shared" si="31"/>
        <v>0</v>
      </c>
      <c r="N62" s="146">
        <f t="shared" si="31"/>
        <v>0</v>
      </c>
      <c r="O62" s="146">
        <f t="shared" si="31"/>
        <v>0</v>
      </c>
      <c r="P62" s="146">
        <f t="shared" si="31"/>
        <v>0</v>
      </c>
      <c r="Q62" s="146">
        <f t="shared" si="31"/>
        <v>0</v>
      </c>
      <c r="R62" s="342">
        <f t="shared" si="31"/>
        <v>455995</v>
      </c>
      <c r="S62" s="148"/>
      <c r="T62" s="148"/>
      <c r="U62" s="143"/>
    </row>
    <row r="63" spans="1:21" s="144" customFormat="1">
      <c r="A63" s="154" t="s">
        <v>302</v>
      </c>
      <c r="B63" s="146">
        <f t="shared" ref="B63:R63" si="32">SUM(B8+B11+B13+B14+B15+B26+B27+B38+B42+B43+B54+B62)</f>
        <v>52112126</v>
      </c>
      <c r="C63" s="146">
        <f t="shared" si="32"/>
        <v>52112126</v>
      </c>
      <c r="D63" s="146">
        <f t="shared" si="32"/>
        <v>0</v>
      </c>
      <c r="E63" s="146">
        <f t="shared" si="32"/>
        <v>15492580</v>
      </c>
      <c r="F63" s="146">
        <f t="shared" si="32"/>
        <v>34099546</v>
      </c>
      <c r="G63" s="146">
        <f t="shared" si="32"/>
        <v>0</v>
      </c>
      <c r="H63" s="146">
        <f t="shared" si="32"/>
        <v>0</v>
      </c>
      <c r="I63" s="146">
        <f t="shared" si="32"/>
        <v>2520000</v>
      </c>
      <c r="J63" s="146">
        <f t="shared" si="32"/>
        <v>0</v>
      </c>
      <c r="K63" s="146">
        <f t="shared" si="32"/>
        <v>0</v>
      </c>
      <c r="L63" s="146">
        <f t="shared" si="32"/>
        <v>0</v>
      </c>
      <c r="M63" s="146">
        <f t="shared" si="32"/>
        <v>0</v>
      </c>
      <c r="N63" s="146">
        <f t="shared" si="32"/>
        <v>0</v>
      </c>
      <c r="O63" s="146">
        <f t="shared" si="32"/>
        <v>0</v>
      </c>
      <c r="P63" s="146">
        <f t="shared" si="32"/>
        <v>0</v>
      </c>
      <c r="Q63" s="146">
        <f t="shared" si="32"/>
        <v>0</v>
      </c>
      <c r="R63" s="342">
        <f t="shared" si="32"/>
        <v>52112126</v>
      </c>
      <c r="S63" s="146">
        <f>SUM(S10+S13+S14+S15+S26+S27+S38+S42+S43+S54)</f>
        <v>45395469</v>
      </c>
      <c r="T63" s="146">
        <f>SUM(T11+T13+T14+T15+T26+T27+T38+T42+T43+T54)</f>
        <v>0</v>
      </c>
      <c r="U63" s="143"/>
    </row>
    <row r="64" spans="1:21" s="144" customFormat="1" ht="22.8">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3">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3"/>
        <v>15000</v>
      </c>
      <c r="F66" s="147"/>
      <c r="G66" s="147"/>
      <c r="H66" s="147"/>
      <c r="I66" s="147"/>
      <c r="J66" s="147"/>
      <c r="K66" s="147"/>
      <c r="L66" s="147"/>
      <c r="M66" s="147"/>
      <c r="N66" s="147"/>
      <c r="O66" s="147"/>
      <c r="P66" s="147"/>
      <c r="Q66" s="147"/>
      <c r="R66" s="516">
        <f>SUM(E66:Q66)</f>
        <v>15000</v>
      </c>
      <c r="S66" s="147">
        <f t="shared" ref="S66:S69" si="34">C66</f>
        <v>15000</v>
      </c>
      <c r="T66" s="147"/>
      <c r="U66" s="143"/>
    </row>
    <row r="67" spans="1:21" s="144" customFormat="1" ht="24" customHeight="1">
      <c r="A67" s="283" t="s">
        <v>1640</v>
      </c>
      <c r="B67" s="146">
        <f>SUM(C67+D67)</f>
        <v>240000</v>
      </c>
      <c r="C67" s="147">
        <f>'[1]Data Port'!$G$1301</f>
        <v>240000</v>
      </c>
      <c r="D67" s="147"/>
      <c r="E67" s="147">
        <f t="shared" si="33"/>
        <v>240000</v>
      </c>
      <c r="F67" s="147"/>
      <c r="G67" s="147"/>
      <c r="H67" s="147"/>
      <c r="I67" s="147"/>
      <c r="J67" s="147"/>
      <c r="K67" s="147"/>
      <c r="L67" s="147"/>
      <c r="M67" s="147"/>
      <c r="N67" s="147"/>
      <c r="O67" s="147"/>
      <c r="P67" s="147"/>
      <c r="Q67" s="147"/>
      <c r="R67" s="516">
        <f>SUM(E67:Q67)</f>
        <v>240000</v>
      </c>
      <c r="S67" s="147">
        <f t="shared" si="34"/>
        <v>240000</v>
      </c>
      <c r="T67" s="147"/>
      <c r="U67" s="143"/>
    </row>
    <row r="68" spans="1:21" s="144" customFormat="1" ht="12" customHeight="1">
      <c r="A68" s="283" t="s">
        <v>1646</v>
      </c>
      <c r="B68" s="146">
        <f>SUM(C68+D68)</f>
        <v>0</v>
      </c>
      <c r="C68" s="147">
        <f>'[1]Data Port'!$G$1302</f>
        <v>0</v>
      </c>
      <c r="D68" s="147"/>
      <c r="E68" s="147">
        <f t="shared" si="33"/>
        <v>0</v>
      </c>
      <c r="F68" s="147"/>
      <c r="G68" s="147"/>
      <c r="H68" s="147"/>
      <c r="I68" s="147"/>
      <c r="J68" s="147"/>
      <c r="K68" s="147"/>
      <c r="L68" s="147"/>
      <c r="M68" s="147"/>
      <c r="N68" s="147"/>
      <c r="O68" s="147"/>
      <c r="P68" s="147"/>
      <c r="Q68" s="147"/>
      <c r="R68" s="516">
        <f>SUM(E68:Q68)</f>
        <v>0</v>
      </c>
      <c r="S68" s="147">
        <f t="shared" si="34"/>
        <v>0</v>
      </c>
      <c r="T68" s="147"/>
      <c r="U68" s="143"/>
    </row>
    <row r="69" spans="1:21" s="144" customFormat="1">
      <c r="A69" s="1149" t="str">
        <f>'[1]Data Port'!$B$1303</f>
        <v>Applicant construction legal and due dilligence</v>
      </c>
      <c r="B69" s="146">
        <f>SUM(C69+D69)</f>
        <v>165000</v>
      </c>
      <c r="C69" s="147">
        <f>'[1]Data Port'!$G$1303</f>
        <v>165000</v>
      </c>
      <c r="D69" s="147"/>
      <c r="E69" s="147">
        <f t="shared" si="33"/>
        <v>165000</v>
      </c>
      <c r="F69" s="147"/>
      <c r="G69" s="147"/>
      <c r="H69" s="147"/>
      <c r="I69" s="147"/>
      <c r="J69" s="147"/>
      <c r="K69" s="147"/>
      <c r="L69" s="147"/>
      <c r="M69" s="147"/>
      <c r="N69" s="147"/>
      <c r="O69" s="147"/>
      <c r="P69" s="147"/>
      <c r="Q69" s="147"/>
      <c r="R69" s="516">
        <f>SUM(E69:Q69)</f>
        <v>165000</v>
      </c>
      <c r="S69" s="147">
        <f t="shared" si="34"/>
        <v>165000</v>
      </c>
      <c r="T69" s="147"/>
      <c r="U69" s="143"/>
    </row>
    <row r="70" spans="1:21" s="144" customFormat="1" ht="12">
      <c r="A70" s="149" t="s">
        <v>1643</v>
      </c>
      <c r="B70" s="146">
        <f>SUM(C70:D70)</f>
        <v>545000</v>
      </c>
      <c r="C70" s="146">
        <f>SUM(C65:C69)</f>
        <v>545000</v>
      </c>
      <c r="D70" s="146">
        <f>SUM(D65:D69)</f>
        <v>0</v>
      </c>
      <c r="E70" s="146">
        <f t="shared" ref="E70:T70" si="35">SUM(E65:E69)</f>
        <v>545000</v>
      </c>
      <c r="F70" s="146">
        <f t="shared" si="35"/>
        <v>0</v>
      </c>
      <c r="G70" s="146">
        <f t="shared" si="35"/>
        <v>0</v>
      </c>
      <c r="H70" s="146">
        <f t="shared" si="35"/>
        <v>0</v>
      </c>
      <c r="I70" s="146">
        <f t="shared" si="35"/>
        <v>0</v>
      </c>
      <c r="J70" s="146">
        <f t="shared" si="35"/>
        <v>0</v>
      </c>
      <c r="K70" s="146">
        <f t="shared" si="35"/>
        <v>0</v>
      </c>
      <c r="L70" s="146">
        <f t="shared" si="35"/>
        <v>0</v>
      </c>
      <c r="M70" s="146">
        <f t="shared" si="35"/>
        <v>0</v>
      </c>
      <c r="N70" s="146">
        <f t="shared" si="35"/>
        <v>0</v>
      </c>
      <c r="O70" s="146">
        <f t="shared" si="35"/>
        <v>0</v>
      </c>
      <c r="P70" s="146">
        <f t="shared" si="35"/>
        <v>0</v>
      </c>
      <c r="Q70" s="146">
        <f t="shared" si="35"/>
        <v>0</v>
      </c>
      <c r="R70" s="342">
        <f t="shared" si="35"/>
        <v>545000</v>
      </c>
      <c r="S70" s="150">
        <f t="shared" si="35"/>
        <v>495000</v>
      </c>
      <c r="T70" s="150">
        <f t="shared" si="3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6">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6"/>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945208</v>
      </c>
      <c r="C75" s="147">
        <f>'[1]Data Port'!$G$1308</f>
        <v>945208</v>
      </c>
      <c r="D75" s="147"/>
      <c r="E75" s="147">
        <f t="shared" si="36"/>
        <v>445812</v>
      </c>
      <c r="F75" s="147"/>
      <c r="G75" s="147">
        <f>G108</f>
        <v>499396</v>
      </c>
      <c r="H75" s="147"/>
      <c r="I75" s="147"/>
      <c r="J75" s="147"/>
      <c r="K75" s="147"/>
      <c r="L75" s="147"/>
      <c r="M75" s="147"/>
      <c r="N75" s="147"/>
      <c r="O75" s="147"/>
      <c r="P75" s="147"/>
      <c r="Q75" s="147"/>
      <c r="R75" s="516">
        <f>SUM(E75:Q75)</f>
        <v>945208</v>
      </c>
      <c r="S75" s="148"/>
      <c r="T75" s="148"/>
      <c r="U75" s="143"/>
    </row>
    <row r="76" spans="1:21" s="144" customFormat="1">
      <c r="A76" s="1149" t="str">
        <f>'[1]Data Port'!$B$1309</f>
        <v>Other: (Specify)</v>
      </c>
      <c r="B76" s="146">
        <f>SUM(C76+D76)</f>
        <v>0</v>
      </c>
      <c r="C76" s="147">
        <f>'[1]Data Port'!$G$1309</f>
        <v>0</v>
      </c>
      <c r="D76" s="147"/>
      <c r="E76" s="147">
        <f t="shared" si="36"/>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945208</v>
      </c>
      <c r="C77" s="146">
        <f>SUM(C72:C76)</f>
        <v>945208</v>
      </c>
      <c r="D77" s="146">
        <f>SUM(D72:D76)</f>
        <v>0</v>
      </c>
      <c r="E77" s="146">
        <f t="shared" ref="E77:Q77" si="37">SUM(E72:E76)</f>
        <v>445812</v>
      </c>
      <c r="F77" s="146">
        <f t="shared" si="37"/>
        <v>0</v>
      </c>
      <c r="G77" s="146">
        <f t="shared" si="37"/>
        <v>499396</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42">
        <f>SUM(R72:R76)</f>
        <v>945208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1819424</v>
      </c>
      <c r="C79" s="147">
        <f>'[1]Data Port'!$G$1311</f>
        <v>1819424</v>
      </c>
      <c r="D79" s="147"/>
      <c r="E79" s="147">
        <f t="shared" ref="E79:E80" si="38">C79+D79-F79-G79-H79-I79-J79-K79</f>
        <v>1819424</v>
      </c>
      <c r="F79" s="147"/>
      <c r="G79" s="147"/>
      <c r="H79" s="147"/>
      <c r="I79" s="147"/>
      <c r="J79" s="147"/>
      <c r="K79" s="147"/>
      <c r="L79" s="147"/>
      <c r="M79" s="147"/>
      <c r="N79" s="147"/>
      <c r="O79" s="147"/>
      <c r="P79" s="147"/>
      <c r="Q79" s="147"/>
      <c r="R79" s="516">
        <f>SUM(E79:Q79)</f>
        <v>1819424</v>
      </c>
      <c r="S79" s="147">
        <f t="shared" ref="S79:S80" si="39">C79</f>
        <v>1819424</v>
      </c>
      <c r="T79" s="147"/>
      <c r="U79" s="143"/>
    </row>
    <row r="80" spans="1:21" s="144" customFormat="1">
      <c r="A80" s="283" t="s">
        <v>58</v>
      </c>
      <c r="B80" s="146">
        <f>SUM(C80:D80)</f>
        <v>296769</v>
      </c>
      <c r="C80" s="147">
        <f>'[1]Data Port'!$G$1312</f>
        <v>296769</v>
      </c>
      <c r="D80" s="147"/>
      <c r="E80" s="147">
        <f t="shared" si="38"/>
        <v>296769</v>
      </c>
      <c r="F80" s="147"/>
      <c r="G80" s="147"/>
      <c r="H80" s="147"/>
      <c r="I80" s="147"/>
      <c r="J80" s="147"/>
      <c r="K80" s="147"/>
      <c r="L80" s="147"/>
      <c r="M80" s="147"/>
      <c r="N80" s="147"/>
      <c r="O80" s="147"/>
      <c r="P80" s="147"/>
      <c r="Q80" s="147"/>
      <c r="R80" s="516">
        <f>SUM(E80:Q80)</f>
        <v>296769</v>
      </c>
      <c r="S80" s="147">
        <f t="shared" si="39"/>
        <v>296769</v>
      </c>
      <c r="T80" s="147"/>
      <c r="U80" s="143"/>
    </row>
    <row r="81" spans="1:21" s="144" customFormat="1" ht="12">
      <c r="A81" s="149" t="s">
        <v>1207</v>
      </c>
      <c r="B81" s="146">
        <f>SUM(C81:D81)</f>
        <v>2116193</v>
      </c>
      <c r="C81" s="509">
        <f>SUM(C79:C80)</f>
        <v>2116193</v>
      </c>
      <c r="D81" s="509">
        <f t="shared" ref="D81:T81" si="40">SUM(D79:D80)</f>
        <v>0</v>
      </c>
      <c r="E81" s="509">
        <f t="shared" si="40"/>
        <v>2116193</v>
      </c>
      <c r="F81" s="509">
        <f t="shared" si="40"/>
        <v>0</v>
      </c>
      <c r="G81" s="509">
        <f t="shared" si="40"/>
        <v>0</v>
      </c>
      <c r="H81" s="509">
        <f t="shared" si="40"/>
        <v>0</v>
      </c>
      <c r="I81" s="509">
        <f t="shared" si="40"/>
        <v>0</v>
      </c>
      <c r="J81" s="509">
        <f t="shared" si="40"/>
        <v>0</v>
      </c>
      <c r="K81" s="509">
        <f t="shared" si="40"/>
        <v>0</v>
      </c>
      <c r="L81" s="509">
        <f t="shared" si="40"/>
        <v>0</v>
      </c>
      <c r="M81" s="509">
        <f t="shared" si="40"/>
        <v>0</v>
      </c>
      <c r="N81" s="509">
        <f t="shared" si="40"/>
        <v>0</v>
      </c>
      <c r="O81" s="509">
        <f t="shared" si="40"/>
        <v>0</v>
      </c>
      <c r="P81" s="509">
        <f t="shared" si="40"/>
        <v>0</v>
      </c>
      <c r="Q81" s="509">
        <f t="shared" si="40"/>
        <v>0</v>
      </c>
      <c r="R81" s="509">
        <f t="shared" si="40"/>
        <v>2116193</v>
      </c>
      <c r="S81" s="509">
        <f t="shared" si="40"/>
        <v>2116193</v>
      </c>
      <c r="T81" s="509">
        <f t="shared" si="4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2092</v>
      </c>
      <c r="B83" s="146">
        <f t="shared" ref="B83:B95" si="41">SUM(C83+D83)</f>
        <v>174300</v>
      </c>
      <c r="C83" s="147">
        <f>'[1]Data Port'!$G$1314</f>
        <v>174300</v>
      </c>
      <c r="D83" s="147"/>
      <c r="E83" s="147">
        <f t="shared" ref="E83:E95" si="42">C83+D83-F83-G83-H83-I83-J83-K83</f>
        <v>174300</v>
      </c>
      <c r="F83" s="147"/>
      <c r="G83" s="147"/>
      <c r="H83" s="147"/>
      <c r="I83" s="147"/>
      <c r="J83" s="147"/>
      <c r="K83" s="147"/>
      <c r="L83" s="147"/>
      <c r="M83" s="147"/>
      <c r="N83" s="147"/>
      <c r="O83" s="147"/>
      <c r="P83" s="147"/>
      <c r="Q83" s="147"/>
      <c r="R83" s="516">
        <f t="shared" ref="R83:R95" si="43">SUM(E83:Q83)</f>
        <v>174300</v>
      </c>
      <c r="S83" s="148"/>
      <c r="T83" s="148"/>
      <c r="U83" s="143"/>
    </row>
    <row r="84" spans="1:21" s="144" customFormat="1">
      <c r="A84" s="145" t="s">
        <v>766</v>
      </c>
      <c r="B84" s="146">
        <f t="shared" si="41"/>
        <v>25000</v>
      </c>
      <c r="C84" s="147">
        <f>'[1]Data Port'!$G$1315</f>
        <v>25000</v>
      </c>
      <c r="D84" s="147"/>
      <c r="E84" s="147">
        <f t="shared" si="42"/>
        <v>25000</v>
      </c>
      <c r="F84" s="147"/>
      <c r="G84" s="147"/>
      <c r="H84" s="147"/>
      <c r="I84" s="147"/>
      <c r="J84" s="147"/>
      <c r="K84" s="147"/>
      <c r="L84" s="147"/>
      <c r="M84" s="147"/>
      <c r="N84" s="147"/>
      <c r="O84" s="147"/>
      <c r="P84" s="147"/>
      <c r="Q84" s="147"/>
      <c r="R84" s="516">
        <f t="shared" si="43"/>
        <v>25000</v>
      </c>
      <c r="S84" s="147">
        <f t="shared" ref="S84:S87" si="44">C84</f>
        <v>25000</v>
      </c>
      <c r="T84" s="147"/>
      <c r="U84" s="143"/>
    </row>
    <row r="85" spans="1:21" s="144" customFormat="1">
      <c r="A85" s="145" t="s">
        <v>767</v>
      </c>
      <c r="B85" s="146">
        <f t="shared" si="41"/>
        <v>189000</v>
      </c>
      <c r="C85" s="147">
        <f>'[1]Data Port'!$G$1316</f>
        <v>189000</v>
      </c>
      <c r="D85" s="147"/>
      <c r="E85" s="147">
        <f t="shared" si="42"/>
        <v>189000</v>
      </c>
      <c r="F85" s="147"/>
      <c r="G85" s="147"/>
      <c r="H85" s="147"/>
      <c r="I85" s="147"/>
      <c r="J85" s="147"/>
      <c r="K85" s="147"/>
      <c r="L85" s="147"/>
      <c r="M85" s="147"/>
      <c r="N85" s="147"/>
      <c r="O85" s="147"/>
      <c r="P85" s="147"/>
      <c r="Q85" s="147"/>
      <c r="R85" s="516">
        <f t="shared" si="43"/>
        <v>189000</v>
      </c>
      <c r="S85" s="147">
        <f t="shared" si="44"/>
        <v>189000</v>
      </c>
      <c r="T85" s="147"/>
      <c r="U85" s="143"/>
    </row>
    <row r="86" spans="1:21" s="144" customFormat="1">
      <c r="A86" s="145" t="s">
        <v>768</v>
      </c>
      <c r="B86" s="146">
        <f t="shared" si="41"/>
        <v>1764000</v>
      </c>
      <c r="C86" s="147">
        <f>'[1]Data Port'!$G$1317</f>
        <v>1764000</v>
      </c>
      <c r="D86" s="147"/>
      <c r="E86" s="147">
        <f t="shared" si="42"/>
        <v>1764000</v>
      </c>
      <c r="F86" s="147"/>
      <c r="G86" s="147"/>
      <c r="H86" s="147"/>
      <c r="I86" s="147"/>
      <c r="J86" s="147"/>
      <c r="K86" s="147"/>
      <c r="L86" s="147"/>
      <c r="M86" s="147"/>
      <c r="N86" s="147"/>
      <c r="O86" s="147"/>
      <c r="P86" s="147"/>
      <c r="Q86" s="147"/>
      <c r="R86" s="516">
        <f t="shared" si="43"/>
        <v>1764000</v>
      </c>
      <c r="S86" s="147">
        <f t="shared" si="44"/>
        <v>1764000</v>
      </c>
      <c r="T86" s="147"/>
      <c r="U86" s="143"/>
    </row>
    <row r="87" spans="1:21" s="144" customFormat="1">
      <c r="A87" s="145" t="s">
        <v>769</v>
      </c>
      <c r="B87" s="146">
        <f t="shared" si="41"/>
        <v>2328984</v>
      </c>
      <c r="C87" s="147">
        <f>'[1]Data Port'!$G$1318</f>
        <v>2328984</v>
      </c>
      <c r="D87" s="147"/>
      <c r="E87" s="147">
        <f t="shared" si="42"/>
        <v>2328984</v>
      </c>
      <c r="F87" s="147"/>
      <c r="G87" s="147"/>
      <c r="H87" s="147"/>
      <c r="I87" s="147"/>
      <c r="J87" s="147"/>
      <c r="K87" s="147"/>
      <c r="L87" s="147"/>
      <c r="M87" s="147"/>
      <c r="N87" s="147"/>
      <c r="O87" s="147"/>
      <c r="P87" s="147"/>
      <c r="Q87" s="147"/>
      <c r="R87" s="516">
        <f t="shared" si="43"/>
        <v>2328984</v>
      </c>
      <c r="S87" s="147">
        <f t="shared" si="44"/>
        <v>2328984</v>
      </c>
      <c r="T87" s="147"/>
      <c r="U87" s="143"/>
    </row>
    <row r="88" spans="1:21" s="144" customFormat="1">
      <c r="A88" s="145" t="s">
        <v>770</v>
      </c>
      <c r="B88" s="146">
        <f t="shared" si="41"/>
        <v>340200</v>
      </c>
      <c r="C88" s="147">
        <f>'[1]Data Port'!$G$1319</f>
        <v>340200</v>
      </c>
      <c r="D88" s="147"/>
      <c r="E88" s="147">
        <f t="shared" si="42"/>
        <v>340200</v>
      </c>
      <c r="F88" s="147"/>
      <c r="G88" s="147"/>
      <c r="H88" s="147"/>
      <c r="I88" s="147"/>
      <c r="J88" s="147"/>
      <c r="K88" s="147"/>
      <c r="L88" s="147"/>
      <c r="M88" s="147"/>
      <c r="N88" s="147"/>
      <c r="O88" s="147"/>
      <c r="P88" s="147"/>
      <c r="Q88" s="147"/>
      <c r="R88" s="516">
        <f t="shared" si="43"/>
        <v>340200</v>
      </c>
      <c r="S88" s="148"/>
      <c r="T88" s="148"/>
      <c r="U88" s="143"/>
    </row>
    <row r="89" spans="1:21" s="144" customFormat="1">
      <c r="A89" s="145" t="s">
        <v>771</v>
      </c>
      <c r="B89" s="146">
        <f t="shared" si="41"/>
        <v>0</v>
      </c>
      <c r="C89" s="147">
        <f>'[1]Data Port'!$G$1320</f>
        <v>0</v>
      </c>
      <c r="D89" s="147"/>
      <c r="E89" s="147">
        <f t="shared" si="42"/>
        <v>0</v>
      </c>
      <c r="F89" s="147"/>
      <c r="G89" s="147"/>
      <c r="H89" s="147"/>
      <c r="I89" s="147"/>
      <c r="J89" s="147"/>
      <c r="K89" s="147"/>
      <c r="L89" s="147"/>
      <c r="M89" s="147"/>
      <c r="N89" s="147"/>
      <c r="O89" s="147"/>
      <c r="P89" s="147"/>
      <c r="Q89" s="147"/>
      <c r="R89" s="516">
        <f t="shared" si="43"/>
        <v>0</v>
      </c>
      <c r="S89" s="147">
        <f t="shared" ref="S89:S95" si="45">C89</f>
        <v>0</v>
      </c>
      <c r="T89" s="147"/>
      <c r="U89" s="143"/>
    </row>
    <row r="90" spans="1:21" s="144" customFormat="1">
      <c r="A90" s="145" t="s">
        <v>772</v>
      </c>
      <c r="B90" s="146">
        <f t="shared" si="41"/>
        <v>10000</v>
      </c>
      <c r="C90" s="147">
        <f>'[1]Data Port'!$G$1321</f>
        <v>10000</v>
      </c>
      <c r="D90" s="147"/>
      <c r="E90" s="147">
        <f t="shared" si="42"/>
        <v>10000</v>
      </c>
      <c r="F90" s="147"/>
      <c r="G90" s="147"/>
      <c r="H90" s="147"/>
      <c r="I90" s="147"/>
      <c r="J90" s="147"/>
      <c r="K90" s="147"/>
      <c r="L90" s="147"/>
      <c r="M90" s="147"/>
      <c r="N90" s="147"/>
      <c r="O90" s="147"/>
      <c r="P90" s="147"/>
      <c r="Q90" s="147"/>
      <c r="R90" s="516">
        <f t="shared" si="43"/>
        <v>10000</v>
      </c>
      <c r="S90" s="147">
        <f t="shared" si="45"/>
        <v>10000</v>
      </c>
      <c r="T90" s="147"/>
      <c r="U90" s="143"/>
    </row>
    <row r="91" spans="1:21" s="144" customFormat="1">
      <c r="A91" s="145" t="s">
        <v>371</v>
      </c>
      <c r="B91" s="146">
        <f t="shared" si="41"/>
        <v>65000</v>
      </c>
      <c r="C91" s="147">
        <f>'[1]Data Port'!$G$1322</f>
        <v>65000</v>
      </c>
      <c r="D91" s="147"/>
      <c r="E91" s="147">
        <f t="shared" si="42"/>
        <v>65000</v>
      </c>
      <c r="F91" s="147"/>
      <c r="G91" s="147"/>
      <c r="H91" s="147"/>
      <c r="I91" s="147"/>
      <c r="J91" s="147"/>
      <c r="K91" s="147"/>
      <c r="L91" s="147"/>
      <c r="M91" s="147"/>
      <c r="N91" s="147"/>
      <c r="O91" s="147"/>
      <c r="P91" s="147"/>
      <c r="Q91" s="147"/>
      <c r="R91" s="516">
        <f t="shared" si="43"/>
        <v>65000</v>
      </c>
      <c r="S91" s="147">
        <f>C91*0</f>
        <v>0</v>
      </c>
      <c r="T91" s="147"/>
      <c r="U91" s="143"/>
    </row>
    <row r="92" spans="1:21" s="144" customFormat="1">
      <c r="A92" s="283" t="s">
        <v>1209</v>
      </c>
      <c r="B92" s="146">
        <f t="shared" si="41"/>
        <v>10000</v>
      </c>
      <c r="C92" s="147">
        <f>'[1]Data Port'!$G$1323</f>
        <v>10000</v>
      </c>
      <c r="D92" s="147"/>
      <c r="E92" s="147">
        <f t="shared" si="42"/>
        <v>10000</v>
      </c>
      <c r="F92" s="147"/>
      <c r="G92" s="147"/>
      <c r="H92" s="147"/>
      <c r="I92" s="147"/>
      <c r="J92" s="147"/>
      <c r="K92" s="147"/>
      <c r="L92" s="147"/>
      <c r="M92" s="147"/>
      <c r="N92" s="147"/>
      <c r="O92" s="147"/>
      <c r="P92" s="147"/>
      <c r="Q92" s="147"/>
      <c r="R92" s="516">
        <f t="shared" si="43"/>
        <v>10000</v>
      </c>
      <c r="S92" s="147">
        <f t="shared" si="45"/>
        <v>10000</v>
      </c>
      <c r="T92" s="147"/>
      <c r="U92" s="143"/>
    </row>
    <row r="93" spans="1:21" s="144" customFormat="1">
      <c r="A93" s="1149" t="s">
        <v>34</v>
      </c>
      <c r="B93" s="146">
        <f t="shared" si="41"/>
        <v>0</v>
      </c>
      <c r="C93" s="147">
        <f>'[1]Data Port'!$G$1324</f>
        <v>0</v>
      </c>
      <c r="D93" s="147"/>
      <c r="E93" s="147">
        <f t="shared" si="42"/>
        <v>0</v>
      </c>
      <c r="F93" s="147"/>
      <c r="G93" s="147"/>
      <c r="H93" s="147"/>
      <c r="I93" s="147"/>
      <c r="J93" s="147"/>
      <c r="K93" s="147"/>
      <c r="L93" s="147"/>
      <c r="M93" s="147"/>
      <c r="N93" s="147"/>
      <c r="O93" s="147"/>
      <c r="P93" s="147"/>
      <c r="Q93" s="147"/>
      <c r="R93" s="516">
        <f t="shared" si="43"/>
        <v>0</v>
      </c>
      <c r="S93" s="147">
        <f t="shared" si="45"/>
        <v>0</v>
      </c>
      <c r="T93" s="147"/>
      <c r="U93" s="143"/>
    </row>
    <row r="94" spans="1:21" s="144" customFormat="1">
      <c r="A94" s="1149" t="s">
        <v>34</v>
      </c>
      <c r="B94" s="146">
        <f t="shared" si="41"/>
        <v>0</v>
      </c>
      <c r="C94" s="147">
        <f>'[1]Data Port'!$G$1325</f>
        <v>0</v>
      </c>
      <c r="D94" s="147"/>
      <c r="E94" s="147">
        <f t="shared" si="42"/>
        <v>0</v>
      </c>
      <c r="F94" s="147"/>
      <c r="G94" s="147"/>
      <c r="H94" s="147"/>
      <c r="I94" s="147"/>
      <c r="J94" s="147"/>
      <c r="K94" s="147"/>
      <c r="L94" s="147"/>
      <c r="M94" s="147"/>
      <c r="N94" s="147"/>
      <c r="O94" s="147"/>
      <c r="P94" s="147"/>
      <c r="Q94" s="147"/>
      <c r="R94" s="516">
        <f t="shared" si="43"/>
        <v>0</v>
      </c>
      <c r="S94" s="147">
        <f t="shared" si="45"/>
        <v>0</v>
      </c>
      <c r="T94" s="147"/>
      <c r="U94" s="143"/>
    </row>
    <row r="95" spans="1:21" s="144" customFormat="1">
      <c r="A95" s="1149" t="s">
        <v>34</v>
      </c>
      <c r="B95" s="146">
        <f t="shared" si="41"/>
        <v>0</v>
      </c>
      <c r="C95" s="147">
        <f>'[1]Data Port'!$G$1326</f>
        <v>0</v>
      </c>
      <c r="D95" s="147"/>
      <c r="E95" s="147">
        <f t="shared" si="42"/>
        <v>0</v>
      </c>
      <c r="F95" s="147"/>
      <c r="G95" s="147"/>
      <c r="H95" s="147"/>
      <c r="I95" s="147"/>
      <c r="J95" s="147"/>
      <c r="K95" s="147"/>
      <c r="L95" s="147"/>
      <c r="M95" s="147"/>
      <c r="N95" s="147"/>
      <c r="O95" s="147"/>
      <c r="P95" s="147"/>
      <c r="Q95" s="147"/>
      <c r="R95" s="516">
        <f t="shared" si="43"/>
        <v>0</v>
      </c>
      <c r="S95" s="147">
        <f t="shared" si="45"/>
        <v>0</v>
      </c>
      <c r="T95" s="147"/>
      <c r="U95" s="143"/>
    </row>
    <row r="96" spans="1:21" s="144" customFormat="1" ht="12">
      <c r="A96" s="149" t="s">
        <v>773</v>
      </c>
      <c r="B96" s="146">
        <f>SUM(C96:D96)</f>
        <v>4906484</v>
      </c>
      <c r="C96" s="146">
        <f t="shared" ref="C96:R96" si="46">SUM(C83:C95)</f>
        <v>4906484</v>
      </c>
      <c r="D96" s="146">
        <f t="shared" si="46"/>
        <v>0</v>
      </c>
      <c r="E96" s="146">
        <f t="shared" si="46"/>
        <v>4906484</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2">
        <f t="shared" si="46"/>
        <v>4906484</v>
      </c>
      <c r="S96" s="150">
        <f>SUM(S84:S87,S89:S95)</f>
        <v>4326984</v>
      </c>
      <c r="T96" s="146">
        <f>SUM(T84:T87,T89:T95)</f>
        <v>0</v>
      </c>
      <c r="U96" s="143"/>
    </row>
    <row r="97" spans="1:21" s="144" customFormat="1" ht="12">
      <c r="A97" s="149" t="s">
        <v>774</v>
      </c>
      <c r="B97" s="146">
        <f>SUM(C97:D97)</f>
        <v>60625011</v>
      </c>
      <c r="C97" s="146">
        <f t="shared" ref="C97:R97" si="47">SUM(C63+C70+C77+C81+C96)</f>
        <v>60625011</v>
      </c>
      <c r="D97" s="146">
        <f t="shared" si="47"/>
        <v>0</v>
      </c>
      <c r="E97" s="146">
        <f t="shared" si="47"/>
        <v>23506069</v>
      </c>
      <c r="F97" s="146">
        <f t="shared" si="47"/>
        <v>34099546</v>
      </c>
      <c r="G97" s="146">
        <f t="shared" si="47"/>
        <v>499396</v>
      </c>
      <c r="H97" s="146">
        <f t="shared" si="47"/>
        <v>0</v>
      </c>
      <c r="I97" s="146">
        <f t="shared" si="47"/>
        <v>2520000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si="47"/>
        <v>60625011</v>
      </c>
      <c r="S97" s="146">
        <f>SUM(S63+S70+S81+S96)</f>
        <v>52333646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7810550</v>
      </c>
      <c r="C99" s="979">
        <f>'[1]Data Port'!$G$1328</f>
        <v>7810550</v>
      </c>
      <c r="D99" s="979"/>
      <c r="E99" s="979">
        <f t="shared" ref="E99:E103" si="48">C99+D99-F99-G99-H99-I99-J99-K99</f>
        <v>2104977</v>
      </c>
      <c r="F99" s="147"/>
      <c r="G99" s="147"/>
      <c r="H99" s="147">
        <f>Application!AO629</f>
        <v>5705573</v>
      </c>
      <c r="I99" s="147"/>
      <c r="J99" s="147"/>
      <c r="K99" s="147"/>
      <c r="L99" s="147"/>
      <c r="M99" s="147"/>
      <c r="N99" s="147"/>
      <c r="O99" s="147"/>
      <c r="P99" s="147"/>
      <c r="Q99" s="147"/>
      <c r="R99" s="516">
        <f>SUM(E99:Q99)</f>
        <v>7810550</v>
      </c>
      <c r="S99" s="147">
        <f t="shared" ref="S99:S103" si="49">C99</f>
        <v>7810550</v>
      </c>
      <c r="T99" s="147"/>
      <c r="U99" s="143"/>
    </row>
    <row r="100" spans="1:21" s="144" customFormat="1">
      <c r="A100" s="283" t="s">
        <v>1644</v>
      </c>
      <c r="B100" s="146">
        <f>SUM(C100+D100)</f>
        <v>0</v>
      </c>
      <c r="C100" s="147">
        <f>'[1]Data Port'!$G$1329</f>
        <v>0</v>
      </c>
      <c r="D100" s="147"/>
      <c r="E100" s="147">
        <f t="shared" si="48"/>
        <v>0</v>
      </c>
      <c r="F100" s="147"/>
      <c r="G100" s="147"/>
      <c r="H100" s="147"/>
      <c r="I100" s="147"/>
      <c r="J100" s="147"/>
      <c r="K100" s="147"/>
      <c r="L100" s="147"/>
      <c r="M100" s="147"/>
      <c r="N100" s="147"/>
      <c r="O100" s="147"/>
      <c r="P100" s="147"/>
      <c r="Q100" s="147"/>
      <c r="R100" s="516">
        <f>SUM(E100:Q100)</f>
        <v>0</v>
      </c>
      <c r="S100" s="147">
        <f t="shared" si="49"/>
        <v>0</v>
      </c>
      <c r="T100" s="147"/>
      <c r="U100" s="143"/>
    </row>
    <row r="101" spans="1:21" s="144" customFormat="1" ht="12" customHeight="1">
      <c r="A101" s="145" t="s">
        <v>777</v>
      </c>
      <c r="B101" s="146">
        <f>SUM(C101+D101)</f>
        <v>0</v>
      </c>
      <c r="C101" s="147">
        <f>'[1]Data Port'!$G$1330</f>
        <v>0</v>
      </c>
      <c r="D101" s="147"/>
      <c r="E101" s="147">
        <f t="shared" si="48"/>
        <v>0</v>
      </c>
      <c r="F101" s="147"/>
      <c r="G101" s="147"/>
      <c r="H101" s="147"/>
      <c r="I101" s="147"/>
      <c r="J101" s="147"/>
      <c r="K101" s="147"/>
      <c r="L101" s="147"/>
      <c r="M101" s="147"/>
      <c r="N101" s="147"/>
      <c r="O101" s="147"/>
      <c r="P101" s="147"/>
      <c r="Q101" s="147"/>
      <c r="R101" s="516">
        <f>SUM(E101:Q101)</f>
        <v>0</v>
      </c>
      <c r="S101" s="147">
        <f t="shared" si="49"/>
        <v>0</v>
      </c>
      <c r="T101" s="147"/>
      <c r="U101" s="143"/>
    </row>
    <row r="102" spans="1:21" s="144" customFormat="1">
      <c r="A102" s="283" t="s">
        <v>1645</v>
      </c>
      <c r="B102" s="146">
        <f>SUM(C102+D102)</f>
        <v>0</v>
      </c>
      <c r="C102" s="147">
        <f>'[1]Data Port'!$G$1331</f>
        <v>0</v>
      </c>
      <c r="D102" s="147"/>
      <c r="E102" s="147">
        <f t="shared" si="48"/>
        <v>0</v>
      </c>
      <c r="F102" s="147"/>
      <c r="G102" s="147"/>
      <c r="H102" s="147"/>
      <c r="I102" s="147"/>
      <c r="J102" s="147"/>
      <c r="K102" s="147"/>
      <c r="L102" s="147"/>
      <c r="M102" s="147"/>
      <c r="N102" s="147"/>
      <c r="O102" s="147"/>
      <c r="P102" s="147"/>
      <c r="Q102" s="147"/>
      <c r="R102" s="516">
        <f>SUM(E102:Q102)</f>
        <v>0</v>
      </c>
      <c r="S102" s="147">
        <f t="shared" si="49"/>
        <v>0</v>
      </c>
      <c r="T102" s="147"/>
      <c r="U102" s="143"/>
    </row>
    <row r="103" spans="1:21" s="144" customFormat="1">
      <c r="A103" s="1149" t="s">
        <v>34</v>
      </c>
      <c r="B103" s="146">
        <f>SUM(C103+D103)</f>
        <v>0</v>
      </c>
      <c r="C103" s="147">
        <f>'[1]Data Port'!$G$1332</f>
        <v>0</v>
      </c>
      <c r="D103" s="147"/>
      <c r="E103" s="147">
        <f t="shared" si="48"/>
        <v>0</v>
      </c>
      <c r="F103" s="147"/>
      <c r="G103" s="147"/>
      <c r="H103" s="147"/>
      <c r="I103" s="147"/>
      <c r="J103" s="147"/>
      <c r="K103" s="147"/>
      <c r="L103" s="147"/>
      <c r="M103" s="147"/>
      <c r="N103" s="147"/>
      <c r="O103" s="147"/>
      <c r="P103" s="147"/>
      <c r="Q103" s="147"/>
      <c r="R103" s="516">
        <f>SUM(E103:Q103)</f>
        <v>0</v>
      </c>
      <c r="S103" s="147">
        <f t="shared" si="49"/>
        <v>0</v>
      </c>
      <c r="T103" s="147"/>
      <c r="U103" s="143"/>
    </row>
    <row r="104" spans="1:21" s="144" customFormat="1" ht="12">
      <c r="A104" s="149" t="s">
        <v>778</v>
      </c>
      <c r="B104" s="146">
        <f>SUM(C104:D104)</f>
        <v>7810550</v>
      </c>
      <c r="C104" s="146">
        <f>SUM(C99:C103)</f>
        <v>7810550</v>
      </c>
      <c r="D104" s="146">
        <f t="shared" ref="D104:T104" si="50">SUM(D99:D103)</f>
        <v>0</v>
      </c>
      <c r="E104" s="146">
        <f t="shared" si="50"/>
        <v>2104977</v>
      </c>
      <c r="F104" s="146">
        <f t="shared" si="50"/>
        <v>0</v>
      </c>
      <c r="G104" s="146">
        <f t="shared" si="50"/>
        <v>0</v>
      </c>
      <c r="H104" s="146">
        <f t="shared" si="50"/>
        <v>5705573</v>
      </c>
      <c r="I104" s="146">
        <f t="shared" si="50"/>
        <v>0</v>
      </c>
      <c r="J104" s="146">
        <f t="shared" si="50"/>
        <v>0</v>
      </c>
      <c r="K104" s="146">
        <f t="shared" si="50"/>
        <v>0</v>
      </c>
      <c r="L104" s="146">
        <f t="shared" si="50"/>
        <v>0</v>
      </c>
      <c r="M104" s="146">
        <f t="shared" si="50"/>
        <v>0</v>
      </c>
      <c r="N104" s="146">
        <f t="shared" si="50"/>
        <v>0</v>
      </c>
      <c r="O104" s="146">
        <f t="shared" si="50"/>
        <v>0</v>
      </c>
      <c r="P104" s="146">
        <f t="shared" si="50"/>
        <v>0</v>
      </c>
      <c r="Q104" s="146">
        <f t="shared" si="50"/>
        <v>0</v>
      </c>
      <c r="R104" s="342">
        <f t="shared" si="50"/>
        <v>7810550</v>
      </c>
      <c r="S104" s="150">
        <f t="shared" si="50"/>
        <v>7810550</v>
      </c>
      <c r="T104" s="150">
        <f t="shared" si="50"/>
        <v>0</v>
      </c>
      <c r="U104" s="143"/>
    </row>
    <row r="105" spans="1:21" s="144" customFormat="1" ht="12">
      <c r="A105" s="149" t="s">
        <v>779</v>
      </c>
      <c r="B105" s="150">
        <f>SUM(C105:D105)</f>
        <v>68435561</v>
      </c>
      <c r="C105" s="150">
        <f t="shared" ref="C105:R105" si="51">SUM(C97+C104)</f>
        <v>68435561</v>
      </c>
      <c r="D105" s="150">
        <f t="shared" si="51"/>
        <v>0</v>
      </c>
      <c r="E105" s="150">
        <f t="shared" si="51"/>
        <v>25611046</v>
      </c>
      <c r="F105" s="150">
        <f t="shared" si="51"/>
        <v>34099546</v>
      </c>
      <c r="G105" s="150">
        <f t="shared" si="51"/>
        <v>499396</v>
      </c>
      <c r="H105" s="150">
        <f t="shared" si="51"/>
        <v>5705573</v>
      </c>
      <c r="I105" s="150">
        <f t="shared" si="51"/>
        <v>2520000</v>
      </c>
      <c r="J105" s="150">
        <f t="shared" si="51"/>
        <v>0</v>
      </c>
      <c r="K105" s="150">
        <f t="shared" si="51"/>
        <v>0</v>
      </c>
      <c r="L105" s="150">
        <f t="shared" si="51"/>
        <v>0</v>
      </c>
      <c r="M105" s="150">
        <f t="shared" si="51"/>
        <v>0</v>
      </c>
      <c r="N105" s="150">
        <f t="shared" si="51"/>
        <v>0</v>
      </c>
      <c r="O105" s="150">
        <f t="shared" si="51"/>
        <v>0</v>
      </c>
      <c r="P105" s="150">
        <f t="shared" si="51"/>
        <v>0</v>
      </c>
      <c r="Q105" s="150">
        <f t="shared" si="51"/>
        <v>0</v>
      </c>
      <c r="R105" s="342">
        <f t="shared" si="51"/>
        <v>68435561</v>
      </c>
      <c r="S105" s="150">
        <f>S97+S104</f>
        <v>60144196</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60144196</v>
      </c>
      <c r="T107" s="150">
        <f>T105+T106</f>
        <v>0</v>
      </c>
    </row>
    <row r="108" spans="1:21" s="189" customFormat="1" ht="12">
      <c r="A108" s="162" t="s">
        <v>878</v>
      </c>
      <c r="B108" s="157"/>
      <c r="C108" s="157"/>
      <c r="D108" s="157"/>
      <c r="E108" s="301">
        <f>Application!AO640</f>
        <v>25611046</v>
      </c>
      <c r="F108" s="301">
        <f>Application!AO627</f>
        <v>34099546</v>
      </c>
      <c r="G108" s="301">
        <f>Application!AO628</f>
        <v>499396</v>
      </c>
      <c r="H108" s="301">
        <f>Application!AO629</f>
        <v>5705573</v>
      </c>
      <c r="I108" s="301">
        <f>Application!AO630</f>
        <v>2520000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70" t="s">
        <v>988</v>
      </c>
      <c r="E122" s="1870"/>
      <c r="F122" s="1870"/>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2" t="s">
        <v>1222</v>
      </c>
      <c r="E123" s="1790"/>
      <c r="F123" s="1790"/>
      <c r="G123" s="1790"/>
      <c r="H123" s="1790"/>
      <c r="I123" s="1790"/>
      <c r="J123" s="1790"/>
      <c r="K123" s="1790"/>
      <c r="L123" s="1790"/>
      <c r="M123" s="1790"/>
      <c r="N123" s="1790"/>
      <c r="O123" s="1790"/>
      <c r="P123" s="1790"/>
      <c r="Q123" s="1790"/>
      <c r="R123" s="1790"/>
      <c r="S123" s="1790"/>
      <c r="T123" s="324"/>
      <c r="U123" s="326"/>
    </row>
    <row r="124" spans="1:21" ht="13.2">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3.2">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3.2">
      <c r="A129" s="117" t="s">
        <v>300</v>
      </c>
      <c r="B129" s="333"/>
      <c r="C129" s="117"/>
      <c r="D129" s="1869" t="s">
        <v>995</v>
      </c>
      <c r="E129" s="1869"/>
      <c r="F129" s="1869"/>
      <c r="G129" s="1869"/>
      <c r="H129" s="1869"/>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998</v>
      </c>
      <c r="E132" s="1873"/>
      <c r="F132" s="1873"/>
      <c r="G132" s="1873"/>
      <c r="H132" s="1873"/>
      <c r="I132" s="117"/>
      <c r="J132" s="1873" t="s">
        <v>999</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3.2">
      <c r="A139" s="1871" t="s">
        <v>1002</v>
      </c>
      <c r="B139" s="1871"/>
      <c r="C139" s="1871"/>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E109" sqref="E109"/>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4380000</v>
      </c>
      <c r="C4" s="362">
        <f>B4</f>
        <v>4380000</v>
      </c>
      <c r="D4" s="362"/>
      <c r="E4" s="363"/>
      <c r="F4" s="363"/>
      <c r="G4" s="363"/>
      <c r="H4" s="363"/>
      <c r="I4" s="363"/>
      <c r="J4" s="363"/>
      <c r="K4" s="359"/>
    </row>
    <row r="5" spans="1:11" s="360" customFormat="1" ht="11.4">
      <c r="A5" s="364" t="s">
        <v>28</v>
      </c>
      <c r="B5" s="361">
        <f>'Sources and Uses Budget'!C5</f>
        <v>0</v>
      </c>
      <c r="C5" s="362">
        <f t="shared" ref="C5:C10" si="0">B5</f>
        <v>0</v>
      </c>
      <c r="D5" s="362"/>
      <c r="E5" s="363"/>
      <c r="F5" s="363"/>
      <c r="G5" s="363"/>
      <c r="H5" s="363"/>
      <c r="I5" s="363"/>
      <c r="J5" s="363"/>
      <c r="K5" s="359"/>
    </row>
    <row r="6" spans="1:11" s="360" customFormat="1" ht="11.4">
      <c r="A6" s="364" t="s">
        <v>29</v>
      </c>
      <c r="B6" s="361">
        <f>'Sources and Uses Budget'!C6</f>
        <v>195000</v>
      </c>
      <c r="C6" s="362">
        <f t="shared" si="0"/>
        <v>195000</v>
      </c>
      <c r="D6" s="362"/>
      <c r="E6" s="363"/>
      <c r="F6" s="363"/>
      <c r="G6" s="363"/>
      <c r="H6" s="363"/>
      <c r="I6" s="363"/>
      <c r="J6" s="363"/>
      <c r="K6" s="359"/>
    </row>
    <row r="7" spans="1:11" s="360" customFormat="1" ht="11.4">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4575000</v>
      </c>
      <c r="C8" s="361">
        <f>SUM(C4:C7)</f>
        <v>4575000</v>
      </c>
      <c r="D8" s="361">
        <f>SUM(D4:D7)</f>
        <v>0</v>
      </c>
      <c r="E8" s="363"/>
      <c r="F8" s="363"/>
      <c r="G8" s="363"/>
      <c r="H8" s="363"/>
      <c r="I8" s="363"/>
      <c r="J8" s="363"/>
      <c r="K8" s="359"/>
    </row>
    <row r="9" spans="1:11" s="360" customFormat="1" ht="11.4">
      <c r="A9" s="364" t="s">
        <v>593</v>
      </c>
      <c r="B9" s="361">
        <f>'Sources and Uses Budget'!C9</f>
        <v>250000</v>
      </c>
      <c r="C9" s="362">
        <f t="shared" si="0"/>
        <v>250000</v>
      </c>
      <c r="D9" s="362"/>
      <c r="E9" s="363"/>
      <c r="F9" s="363"/>
      <c r="G9" s="363"/>
      <c r="H9" s="361">
        <f>'Sources and Uses Budget'!T9</f>
        <v>0</v>
      </c>
      <c r="I9" s="362"/>
      <c r="J9" s="362"/>
      <c r="K9" s="359"/>
    </row>
    <row r="10" spans="1:11" s="360" customFormat="1" ht="11.4">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250000</v>
      </c>
      <c r="C11" s="361">
        <f>SUM(C9:C10)</f>
        <v>250000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4825000</v>
      </c>
      <c r="C12" s="361">
        <f>SUM(C8+C11)</f>
        <v>4825000</v>
      </c>
      <c r="D12" s="361">
        <f>SUM(D8+D11)</f>
        <v>0</v>
      </c>
      <c r="E12" s="363"/>
      <c r="F12" s="363"/>
      <c r="G12" s="363"/>
      <c r="H12" s="363"/>
      <c r="I12" s="363"/>
      <c r="J12" s="363"/>
      <c r="K12" s="359"/>
    </row>
    <row r="13" spans="1:11" s="360" customFormat="1" ht="11.4">
      <c r="A13" s="366" t="s">
        <v>901</v>
      </c>
      <c r="B13" s="361">
        <f>'Sources and Uses Budget'!C13</f>
        <v>1755425</v>
      </c>
      <c r="C13" s="362">
        <f t="shared" ref="C13:C15" si="1">B13</f>
        <v>1755425</v>
      </c>
      <c r="D13" s="362"/>
      <c r="E13" s="361">
        <f>'Sources and Uses Budget'!S13</f>
        <v>1755425</v>
      </c>
      <c r="F13" s="362">
        <f t="shared" ref="F13:F14" si="2">E13</f>
        <v>1755425</v>
      </c>
      <c r="G13" s="362"/>
      <c r="H13" s="361">
        <f>'Sources and Uses Budget'!T13</f>
        <v>0</v>
      </c>
      <c r="I13" s="362"/>
      <c r="J13" s="362"/>
      <c r="K13" s="359"/>
    </row>
    <row r="14" spans="1:11" s="360" customFormat="1" ht="22.8">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ht="11.4">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ht="11.4">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ht="11.4">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ht="11.4">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ht="11.4">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ht="11.4">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ht="11.4">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ht="11.4">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ht="11.4">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93321</v>
      </c>
      <c r="C29" s="362">
        <f t="shared" ref="C29:C37" si="6">B29</f>
        <v>93321</v>
      </c>
      <c r="D29" s="362"/>
      <c r="E29" s="361">
        <f>'Sources and Uses Budget'!S29</f>
        <v>0</v>
      </c>
      <c r="F29" s="362">
        <f t="shared" ref="F29:F37" si="7">E29</f>
        <v>0</v>
      </c>
      <c r="G29" s="362"/>
      <c r="H29" s="361">
        <f>'Sources and Uses Budget'!T29</f>
        <v>0</v>
      </c>
      <c r="I29" s="362"/>
      <c r="J29" s="362"/>
      <c r="K29" s="359"/>
    </row>
    <row r="30" spans="1:11" s="360" customFormat="1" ht="11.4">
      <c r="A30" s="145" t="s">
        <v>598</v>
      </c>
      <c r="B30" s="361">
        <f>'Sources and Uses Budget'!C30</f>
        <v>30373825</v>
      </c>
      <c r="C30" s="362">
        <f t="shared" si="6"/>
        <v>30373825</v>
      </c>
      <c r="D30" s="362"/>
      <c r="E30" s="361">
        <f>'Sources and Uses Budget'!S30</f>
        <v>30373825</v>
      </c>
      <c r="F30" s="362">
        <f t="shared" si="7"/>
        <v>30373825</v>
      </c>
      <c r="G30" s="362"/>
      <c r="H30" s="361">
        <f>'Sources and Uses Budget'!T30</f>
        <v>0</v>
      </c>
      <c r="I30" s="362"/>
      <c r="J30" s="362"/>
      <c r="K30" s="359"/>
    </row>
    <row r="31" spans="1:11" s="360" customFormat="1" ht="11.4">
      <c r="A31" s="145" t="s">
        <v>599</v>
      </c>
      <c r="B31" s="361">
        <f>'Sources and Uses Budget'!C31</f>
        <v>1026982</v>
      </c>
      <c r="C31" s="362">
        <f t="shared" si="6"/>
        <v>1026982</v>
      </c>
      <c r="D31" s="362"/>
      <c r="E31" s="361">
        <f>'Sources and Uses Budget'!S31</f>
        <v>1026982</v>
      </c>
      <c r="F31" s="362">
        <f t="shared" si="7"/>
        <v>1026982</v>
      </c>
      <c r="G31" s="362"/>
      <c r="H31" s="361">
        <f>'Sources and Uses Budget'!T31</f>
        <v>0</v>
      </c>
      <c r="I31" s="362"/>
      <c r="J31" s="362"/>
      <c r="K31" s="359"/>
    </row>
    <row r="32" spans="1:11" s="360" customFormat="1" ht="11.4">
      <c r="A32" s="145" t="s">
        <v>137</v>
      </c>
      <c r="B32" s="361">
        <f>'Sources and Uses Budget'!C32</f>
        <v>1369310</v>
      </c>
      <c r="C32" s="362">
        <f t="shared" si="6"/>
        <v>1369310</v>
      </c>
      <c r="D32" s="362"/>
      <c r="E32" s="361">
        <f>'Sources and Uses Budget'!S32</f>
        <v>1369310</v>
      </c>
      <c r="F32" s="362">
        <f t="shared" si="7"/>
        <v>1369310</v>
      </c>
      <c r="G32" s="362"/>
      <c r="H32" s="361">
        <f>'Sources and Uses Budget'!T32</f>
        <v>0</v>
      </c>
      <c r="I32" s="362"/>
      <c r="J32" s="362"/>
      <c r="K32" s="359"/>
    </row>
    <row r="33" spans="1:11" s="360" customFormat="1" ht="11.4">
      <c r="A33" s="145" t="s">
        <v>138</v>
      </c>
      <c r="B33" s="361">
        <f>'Sources and Uses Budget'!C33</f>
        <v>1369310</v>
      </c>
      <c r="C33" s="362">
        <f t="shared" si="6"/>
        <v>1369310</v>
      </c>
      <c r="D33" s="362"/>
      <c r="E33" s="361">
        <f>'Sources and Uses Budget'!S33</f>
        <v>1369310</v>
      </c>
      <c r="F33" s="362">
        <f t="shared" si="7"/>
        <v>1369310</v>
      </c>
      <c r="G33" s="362"/>
      <c r="H33" s="361">
        <f>'Sources and Uses Budget'!T33</f>
        <v>0</v>
      </c>
      <c r="I33" s="362"/>
      <c r="J33" s="362"/>
      <c r="K33" s="359"/>
    </row>
    <row r="34" spans="1:11" s="360" customFormat="1" ht="11.4">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ht="11.4">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ht="11.4">
      <c r="A36" s="508" t="s">
        <v>1638</v>
      </c>
      <c r="B36" s="361">
        <f>'Sources and Uses Budget'!C36</f>
        <v>468000</v>
      </c>
      <c r="C36" s="362">
        <f t="shared" si="6"/>
        <v>468000</v>
      </c>
      <c r="D36" s="362"/>
      <c r="E36" s="361">
        <f>'Sources and Uses Budget'!S36</f>
        <v>468000</v>
      </c>
      <c r="F36" s="362">
        <f t="shared" si="7"/>
        <v>468000</v>
      </c>
      <c r="G36" s="362"/>
      <c r="H36" s="361">
        <f>'Sources and Uses Budget'!T36</f>
        <v>0</v>
      </c>
      <c r="I36" s="362"/>
      <c r="J36" s="362"/>
      <c r="K36" s="359"/>
    </row>
    <row r="37" spans="1:11" s="360" customFormat="1" ht="11.4">
      <c r="A37" s="364" t="str">
        <f>'Sources and Uses Budget'!$A37</f>
        <v>Contractor Contigency</v>
      </c>
      <c r="B37" s="361">
        <f>'Sources and Uses Budget'!C37</f>
        <v>1196396</v>
      </c>
      <c r="C37" s="362">
        <f t="shared" si="6"/>
        <v>1196396</v>
      </c>
      <c r="D37" s="362"/>
      <c r="E37" s="361">
        <f>'Sources and Uses Budget'!S37</f>
        <v>1196396</v>
      </c>
      <c r="F37" s="362">
        <f t="shared" si="7"/>
        <v>1196396</v>
      </c>
      <c r="G37" s="362"/>
      <c r="H37" s="361">
        <f>'Sources and Uses Budget'!T37</f>
        <v>0</v>
      </c>
      <c r="I37" s="362"/>
      <c r="J37" s="362"/>
      <c r="K37" s="359"/>
    </row>
    <row r="38" spans="1:11" s="360" customFormat="1">
      <c r="A38" s="365" t="s">
        <v>143</v>
      </c>
      <c r="B38" s="361">
        <f>'Sources and Uses Budget'!C38</f>
        <v>35897144</v>
      </c>
      <c r="C38" s="361">
        <f>SUM(C29:C37)</f>
        <v>35897144</v>
      </c>
      <c r="D38" s="361">
        <f>SUM(D29:D37)</f>
        <v>0</v>
      </c>
      <c r="E38" s="361">
        <f>'Sources and Uses Budget'!S38</f>
        <v>35803823</v>
      </c>
      <c r="F38" s="367">
        <f>SUM(F29:F37)</f>
        <v>35803823</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850000</v>
      </c>
      <c r="C40" s="362">
        <f t="shared" ref="C40:C41" si="8">B40</f>
        <v>850000</v>
      </c>
      <c r="D40" s="362"/>
      <c r="E40" s="361">
        <f>'Sources and Uses Budget'!S40</f>
        <v>850000</v>
      </c>
      <c r="F40" s="362">
        <f t="shared" ref="F40:F41" si="9">E40</f>
        <v>850000</v>
      </c>
      <c r="G40" s="362"/>
      <c r="H40" s="361">
        <f>'Sources and Uses Budget'!T40</f>
        <v>0</v>
      </c>
      <c r="I40" s="362"/>
      <c r="J40" s="362"/>
      <c r="K40" s="359"/>
    </row>
    <row r="41" spans="1:11" s="360" customFormat="1" ht="11.4">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1150000</v>
      </c>
      <c r="C42" s="361">
        <f>SUM(C39:C41)</f>
        <v>1150000</v>
      </c>
      <c r="D42" s="361">
        <f>SUM(D39:D41)</f>
        <v>0</v>
      </c>
      <c r="E42" s="361">
        <f>'Sources and Uses Budget'!S42</f>
        <v>1150000</v>
      </c>
      <c r="F42" s="367">
        <f>SUM(F40:F41)</f>
        <v>1150000</v>
      </c>
      <c r="G42" s="367">
        <f>SUM(G40:G41)</f>
        <v>0</v>
      </c>
      <c r="H42" s="361">
        <f>'Sources and Uses Budget'!T42</f>
        <v>0</v>
      </c>
      <c r="I42" s="367">
        <f>SUM(I40:I41)</f>
        <v>0</v>
      </c>
      <c r="J42" s="367">
        <f>SUM(J40:J41)</f>
        <v>0</v>
      </c>
      <c r="K42" s="359"/>
    </row>
    <row r="43" spans="1:11" s="360" customFormat="1">
      <c r="A43" s="365" t="s">
        <v>148</v>
      </c>
      <c r="B43" s="361">
        <f>'Sources and Uses Budget'!C43</f>
        <v>2450000</v>
      </c>
      <c r="C43" s="362">
        <f t="shared" ref="C43" si="10">B43</f>
        <v>2450000</v>
      </c>
      <c r="D43" s="362"/>
      <c r="E43" s="361">
        <f>'Sources and Uses Budget'!S43</f>
        <v>2450000</v>
      </c>
      <c r="F43" s="362">
        <f>E43</f>
        <v>2450000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3820109</v>
      </c>
      <c r="C45" s="362">
        <f t="shared" ref="C45:C53" si="11">B45</f>
        <v>3820109</v>
      </c>
      <c r="D45" s="362"/>
      <c r="E45" s="361">
        <f>'Sources and Uses Budget'!S45</f>
        <v>2477768</v>
      </c>
      <c r="F45" s="362">
        <f t="shared" ref="F45:F53" si="12">E45</f>
        <v>2477768</v>
      </c>
      <c r="G45" s="362"/>
      <c r="H45" s="361">
        <f>'Sources and Uses Budget'!T45</f>
        <v>0</v>
      </c>
      <c r="I45" s="362"/>
      <c r="J45" s="362"/>
      <c r="K45" s="359"/>
    </row>
    <row r="46" spans="1:11" s="360" customFormat="1" ht="11.4">
      <c r="A46" s="364" t="s">
        <v>151</v>
      </c>
      <c r="B46" s="361">
        <f>'Sources and Uses Budget'!C46</f>
        <v>449045</v>
      </c>
      <c r="C46" s="362">
        <f t="shared" si="11"/>
        <v>449045</v>
      </c>
      <c r="D46" s="362"/>
      <c r="E46" s="361">
        <f>'Sources and Uses Budget'!S46</f>
        <v>449045</v>
      </c>
      <c r="F46" s="362">
        <f t="shared" si="12"/>
        <v>449045</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ht="11.4">
      <c r="A48" s="364" t="s">
        <v>153</v>
      </c>
      <c r="B48" s="361">
        <f>'Sources and Uses Budget'!C48</f>
        <v>531437</v>
      </c>
      <c r="C48" s="362">
        <f t="shared" si="11"/>
        <v>531437</v>
      </c>
      <c r="D48" s="362"/>
      <c r="E48" s="361">
        <f>'Sources and Uses Budget'!S48</f>
        <v>531437</v>
      </c>
      <c r="F48" s="362">
        <f t="shared" si="12"/>
        <v>531437</v>
      </c>
      <c r="G48" s="362"/>
      <c r="H48" s="361">
        <f>'Sources and Uses Budget'!T48</f>
        <v>0</v>
      </c>
      <c r="I48" s="362"/>
      <c r="J48" s="362"/>
      <c r="K48" s="359"/>
    </row>
    <row r="49" spans="1:11" s="360" customFormat="1" ht="11.4">
      <c r="A49" s="283" t="s">
        <v>57</v>
      </c>
      <c r="B49" s="361">
        <f>'Sources and Uses Budget'!C49</f>
        <v>49143</v>
      </c>
      <c r="C49" s="362">
        <f t="shared" si="11"/>
        <v>49143</v>
      </c>
      <c r="D49" s="362"/>
      <c r="E49" s="361">
        <f>'Sources and Uses Budget'!S49</f>
        <v>49143</v>
      </c>
      <c r="F49" s="362">
        <f t="shared" si="12"/>
        <v>49143</v>
      </c>
      <c r="G49" s="362"/>
      <c r="H49" s="361">
        <f>'Sources and Uses Budget'!T49</f>
        <v>0</v>
      </c>
      <c r="I49" s="362"/>
      <c r="J49" s="362"/>
      <c r="K49" s="359"/>
    </row>
    <row r="50" spans="1:11" s="360" customFormat="1" ht="11.4">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ht="11.4">
      <c r="A51" s="364" t="s">
        <v>154</v>
      </c>
      <c r="B51" s="361">
        <f>'Sources and Uses Budget'!C51</f>
        <v>238423</v>
      </c>
      <c r="C51" s="362">
        <f t="shared" si="11"/>
        <v>238423</v>
      </c>
      <c r="D51" s="362"/>
      <c r="E51" s="361">
        <f>'Sources and Uses Budget'!S51</f>
        <v>238423</v>
      </c>
      <c r="F51" s="362">
        <f t="shared" si="12"/>
        <v>238423</v>
      </c>
      <c r="G51" s="362"/>
      <c r="H51" s="361">
        <f>'Sources and Uses Budget'!T51</f>
        <v>0</v>
      </c>
      <c r="I51" s="362"/>
      <c r="J51" s="362"/>
      <c r="K51" s="359"/>
    </row>
    <row r="52" spans="1:11" s="360" customFormat="1" ht="11.4">
      <c r="A52" s="364" t="s">
        <v>155</v>
      </c>
      <c r="B52" s="361">
        <f>'Sources and Uses Budget'!C52</f>
        <v>427905</v>
      </c>
      <c r="C52" s="362">
        <f t="shared" si="11"/>
        <v>427905</v>
      </c>
      <c r="D52" s="362"/>
      <c r="E52" s="361">
        <f>'Sources and Uses Budget'!S52</f>
        <v>427905</v>
      </c>
      <c r="F52" s="362">
        <f t="shared" si="12"/>
        <v>427905</v>
      </c>
      <c r="G52" s="362"/>
      <c r="H52" s="361">
        <f>'Sources and Uses Budget'!T52</f>
        <v>0</v>
      </c>
      <c r="I52" s="362"/>
      <c r="J52" s="362"/>
      <c r="K52" s="359"/>
    </row>
    <row r="53" spans="1:11" s="360" customFormat="1" ht="11.4">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'Sources and Uses Budget'!C54</f>
        <v>5578562</v>
      </c>
      <c r="C54" s="367">
        <f>SUM(C45:C53)</f>
        <v>5578562</v>
      </c>
      <c r="D54" s="367">
        <f>SUM(D45:D53)</f>
        <v>0</v>
      </c>
      <c r="E54" s="361">
        <f>'Sources and Uses Budget'!S54</f>
        <v>4236221</v>
      </c>
      <c r="F54" s="367">
        <f>SUM(F45:F53)</f>
        <v>4236221</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340995</v>
      </c>
      <c r="C56" s="362">
        <f t="shared" ref="C56:C61" si="13">B56</f>
        <v>340995</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ht="11.4">
      <c r="A58" s="364" t="s">
        <v>156</v>
      </c>
      <c r="B58" s="361">
        <f>'Sources and Uses Budget'!C58</f>
        <v>25000</v>
      </c>
      <c r="C58" s="362">
        <f t="shared" si="13"/>
        <v>25000</v>
      </c>
      <c r="D58" s="362"/>
      <c r="E58" s="363"/>
      <c r="F58" s="363"/>
      <c r="G58" s="363"/>
      <c r="H58" s="363"/>
      <c r="I58" s="363"/>
      <c r="J58" s="363"/>
      <c r="K58" s="359"/>
    </row>
    <row r="59" spans="1:11" s="360" customFormat="1" ht="11.4">
      <c r="A59" s="364" t="s">
        <v>154</v>
      </c>
      <c r="B59" s="361">
        <f>'Sources and Uses Budget'!C59</f>
        <v>0</v>
      </c>
      <c r="C59" s="362">
        <f t="shared" si="13"/>
        <v>0</v>
      </c>
      <c r="D59" s="362"/>
      <c r="E59" s="363"/>
      <c r="F59" s="363"/>
      <c r="G59" s="363"/>
      <c r="H59" s="363"/>
      <c r="I59" s="363"/>
      <c r="J59" s="363"/>
      <c r="K59" s="359"/>
    </row>
    <row r="60" spans="1:11" s="360" customFormat="1" ht="11.4">
      <c r="A60" s="364" t="s">
        <v>155</v>
      </c>
      <c r="B60" s="361">
        <f>'Sources and Uses Budget'!C60</f>
        <v>0</v>
      </c>
      <c r="C60" s="362">
        <f t="shared" si="13"/>
        <v>0</v>
      </c>
      <c r="D60" s="362"/>
      <c r="E60" s="363"/>
      <c r="F60" s="363"/>
      <c r="G60" s="363"/>
      <c r="H60" s="363"/>
      <c r="I60" s="363"/>
      <c r="J60" s="363"/>
      <c r="K60" s="359"/>
    </row>
    <row r="61" spans="1:11" s="360" customFormat="1" ht="22.8">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65" customHeight="1">
      <c r="A62" s="365" t="s">
        <v>301</v>
      </c>
      <c r="B62" s="361">
        <f>'Sources and Uses Budget'!C62</f>
        <v>455995</v>
      </c>
      <c r="C62" s="361">
        <f>SUM(C56:C61)</f>
        <v>455995</v>
      </c>
      <c r="D62" s="361">
        <f>SUM(D56:D61)</f>
        <v>0</v>
      </c>
      <c r="E62" s="363"/>
      <c r="F62" s="363"/>
      <c r="G62" s="363"/>
      <c r="H62" s="363"/>
      <c r="I62" s="363"/>
      <c r="J62" s="363"/>
      <c r="K62" s="359"/>
    </row>
    <row r="63" spans="1:11" s="360" customFormat="1" ht="11.4">
      <c r="A63" s="370" t="s">
        <v>302</v>
      </c>
      <c r="B63" s="361">
        <f>'Sources and Uses Budget'!C63</f>
        <v>52112126</v>
      </c>
      <c r="C63" s="361">
        <f>SUM(C8+C11+C13+C14+C15+C26+C27+C38+C42+C43+C54+C62)</f>
        <v>52112126</v>
      </c>
      <c r="D63" s="361">
        <f>SUM(D8+D11+D13+D14+D15+D26+D27+D38+D42+D43+D54+D62)</f>
        <v>0</v>
      </c>
      <c r="E63" s="361">
        <f>'Sources and Uses Budget'!S63</f>
        <v>45395469</v>
      </c>
      <c r="F63" s="361">
        <f>SUM(F10+F13+F14+F15+F26+F27+F38+F42+F43+F54)</f>
        <v>45395469</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1642</v>
      </c>
      <c r="B64" s="358"/>
      <c r="C64" s="358"/>
      <c r="D64" s="358"/>
      <c r="E64" s="358"/>
      <c r="F64" s="358"/>
      <c r="G64" s="358"/>
      <c r="H64" s="358"/>
      <c r="I64" s="358"/>
      <c r="J64" s="358"/>
      <c r="K64" s="359"/>
    </row>
    <row r="65" spans="1:11" s="360" customFormat="1" ht="11.4">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2.8">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2.8">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ht="11.4">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2.8">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f t="shared" ref="C72:C76" si="16">B72</f>
        <v>0</v>
      </c>
      <c r="D72" s="362"/>
      <c r="E72" s="363"/>
      <c r="F72" s="363"/>
      <c r="G72" s="363"/>
      <c r="H72" s="363"/>
      <c r="I72" s="363"/>
      <c r="J72" s="363"/>
      <c r="K72" s="359"/>
    </row>
    <row r="73" spans="1:11" s="360" customFormat="1" ht="11.4">
      <c r="A73" s="364" t="s">
        <v>603</v>
      </c>
      <c r="B73" s="361">
        <f>'Sources and Uses Budget'!C73</f>
        <v>0</v>
      </c>
      <c r="C73" s="362">
        <f t="shared" si="16"/>
        <v>0</v>
      </c>
      <c r="D73" s="362"/>
      <c r="E73" s="363"/>
      <c r="F73" s="363"/>
      <c r="G73" s="363"/>
      <c r="H73" s="363"/>
      <c r="I73" s="363"/>
      <c r="J73" s="363"/>
      <c r="K73" s="359"/>
    </row>
    <row r="74" spans="1:11" s="360" customFormat="1" ht="11.4">
      <c r="A74" s="366" t="s">
        <v>984</v>
      </c>
      <c r="B74" s="361">
        <f>'Sources and Uses Budget'!C74</f>
        <v>0</v>
      </c>
      <c r="C74" s="362">
        <f t="shared" si="16"/>
        <v>0</v>
      </c>
      <c r="D74" s="362"/>
      <c r="E74" s="363"/>
      <c r="F74" s="363"/>
      <c r="G74" s="363"/>
      <c r="H74" s="363"/>
      <c r="I74" s="363"/>
      <c r="J74" s="363"/>
      <c r="K74" s="359"/>
    </row>
    <row r="75" spans="1:11" s="360" customFormat="1" ht="11.4">
      <c r="A75" s="364" t="s">
        <v>604</v>
      </c>
      <c r="B75" s="361">
        <f>'Sources and Uses Budget'!C75</f>
        <v>945208</v>
      </c>
      <c r="C75" s="362">
        <f t="shared" si="16"/>
        <v>945208</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'Sources and Uses Budget'!C77</f>
        <v>945208</v>
      </c>
      <c r="C77" s="361">
        <f>SUM(C72:C76)</f>
        <v>945208</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1819424</v>
      </c>
      <c r="C79" s="362">
        <f t="shared" ref="C79:C80" si="17">B79</f>
        <v>1819424</v>
      </c>
      <c r="D79" s="362"/>
      <c r="E79" s="361">
        <f>'Sources and Uses Budget'!S79</f>
        <v>1819424</v>
      </c>
      <c r="F79" s="362">
        <f t="shared" ref="F79:F80" si="18">E79</f>
        <v>1819424</v>
      </c>
      <c r="G79" s="362"/>
      <c r="H79" s="361">
        <f>'Sources and Uses Budget'!T79</f>
        <v>0</v>
      </c>
      <c r="I79" s="362"/>
      <c r="J79" s="362"/>
      <c r="K79" s="359"/>
    </row>
    <row r="80" spans="1:11" s="360" customFormat="1" ht="11.4">
      <c r="A80" s="364" t="s">
        <v>58</v>
      </c>
      <c r="B80" s="361">
        <f>'Sources and Uses Budget'!C80</f>
        <v>296769</v>
      </c>
      <c r="C80" s="362">
        <f t="shared" si="17"/>
        <v>296769</v>
      </c>
      <c r="D80" s="362"/>
      <c r="E80" s="361">
        <f>'Sources and Uses Budget'!S80</f>
        <v>296769</v>
      </c>
      <c r="F80" s="362">
        <f t="shared" si="18"/>
        <v>296769</v>
      </c>
      <c r="G80" s="362"/>
      <c r="H80" s="361">
        <f>'Sources and Uses Budget'!T80</f>
        <v>0</v>
      </c>
      <c r="I80" s="362"/>
      <c r="J80" s="362"/>
      <c r="K80" s="359"/>
    </row>
    <row r="81" spans="1:11" s="360" customFormat="1">
      <c r="A81" s="365" t="s">
        <v>1207</v>
      </c>
      <c r="B81" s="361">
        <f>'Sources and Uses Budget'!C81</f>
        <v>2116193</v>
      </c>
      <c r="C81" s="361">
        <f>SUM(C79:C80)</f>
        <v>2116193</v>
      </c>
      <c r="D81" s="361">
        <f>SUM(D79:D80)</f>
        <v>0</v>
      </c>
      <c r="E81" s="361">
        <f>'Sources and Uses Budget'!S81</f>
        <v>2116193</v>
      </c>
      <c r="F81" s="361">
        <f>SUM(F79:F80)</f>
        <v>2116193</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2092</v>
      </c>
      <c r="B83" s="361">
        <f>'Sources and Uses Budget'!C83</f>
        <v>174300</v>
      </c>
      <c r="C83" s="362">
        <f t="shared" ref="C83:C95" si="19">B83</f>
        <v>174300</v>
      </c>
      <c r="D83" s="362"/>
      <c r="E83" s="363"/>
      <c r="F83" s="363"/>
      <c r="G83" s="363"/>
      <c r="H83" s="363"/>
      <c r="I83" s="363"/>
      <c r="J83" s="363"/>
      <c r="K83" s="359"/>
    </row>
    <row r="84" spans="1:11" s="360" customFormat="1" ht="11.4">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ht="11.4">
      <c r="A85" s="145" t="s">
        <v>767</v>
      </c>
      <c r="B85" s="361">
        <f>'Sources and Uses Budget'!C85</f>
        <v>189000</v>
      </c>
      <c r="C85" s="362">
        <f t="shared" si="19"/>
        <v>189000</v>
      </c>
      <c r="D85" s="362"/>
      <c r="E85" s="361">
        <f>'Sources and Uses Budget'!S85</f>
        <v>189000</v>
      </c>
      <c r="F85" s="362">
        <f t="shared" si="20"/>
        <v>189000</v>
      </c>
      <c r="G85" s="362"/>
      <c r="H85" s="361">
        <f>'Sources and Uses Budget'!T85</f>
        <v>0</v>
      </c>
      <c r="I85" s="362"/>
      <c r="J85" s="362"/>
      <c r="K85" s="359"/>
    </row>
    <row r="86" spans="1:11" s="360" customFormat="1" ht="11.4">
      <c r="A86" s="145" t="s">
        <v>768</v>
      </c>
      <c r="B86" s="361">
        <f>'Sources and Uses Budget'!C86</f>
        <v>1764000</v>
      </c>
      <c r="C86" s="362">
        <f t="shared" si="19"/>
        <v>1764000</v>
      </c>
      <c r="D86" s="362"/>
      <c r="E86" s="361">
        <f>'Sources and Uses Budget'!S86</f>
        <v>1764000</v>
      </c>
      <c r="F86" s="362">
        <f t="shared" si="20"/>
        <v>1764000</v>
      </c>
      <c r="G86" s="362"/>
      <c r="H86" s="361">
        <f>'Sources and Uses Budget'!T86</f>
        <v>0</v>
      </c>
      <c r="I86" s="362"/>
      <c r="J86" s="362"/>
      <c r="K86" s="359"/>
    </row>
    <row r="87" spans="1:11" s="360" customFormat="1" ht="11.4">
      <c r="A87" s="145" t="s">
        <v>769</v>
      </c>
      <c r="B87" s="361">
        <f>'Sources and Uses Budget'!C87</f>
        <v>2328984</v>
      </c>
      <c r="C87" s="362">
        <f t="shared" si="19"/>
        <v>2328984</v>
      </c>
      <c r="D87" s="362"/>
      <c r="E87" s="361">
        <f>'Sources and Uses Budget'!S87</f>
        <v>2328984</v>
      </c>
      <c r="F87" s="362">
        <f t="shared" si="20"/>
        <v>2328984</v>
      </c>
      <c r="G87" s="362"/>
      <c r="H87" s="361">
        <f>'Sources and Uses Budget'!T87</f>
        <v>0</v>
      </c>
      <c r="I87" s="362"/>
      <c r="J87" s="362"/>
      <c r="K87" s="359"/>
    </row>
    <row r="88" spans="1:11" s="360" customFormat="1" ht="11.4">
      <c r="A88" s="145" t="s">
        <v>770</v>
      </c>
      <c r="B88" s="361">
        <f>'Sources and Uses Budget'!C88</f>
        <v>340200</v>
      </c>
      <c r="C88" s="362">
        <f t="shared" si="19"/>
        <v>340200</v>
      </c>
      <c r="D88" s="362"/>
      <c r="E88" s="363"/>
      <c r="F88" s="363"/>
      <c r="G88" s="363"/>
      <c r="H88" s="363"/>
      <c r="I88" s="363"/>
      <c r="J88" s="363"/>
      <c r="K88" s="359"/>
    </row>
    <row r="89" spans="1:11" s="360" customFormat="1" ht="11.4">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ht="11.4">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ht="11.4">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ht="11.4">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ht="11.4">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ht="11.4">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'Sources and Uses Budget'!C96</f>
        <v>4906484</v>
      </c>
      <c r="C96" s="361">
        <f>SUM(C83:C95)</f>
        <v>4906484</v>
      </c>
      <c r="D96" s="361">
        <f>SUM(D83:D95)</f>
        <v>0</v>
      </c>
      <c r="E96" s="361">
        <f>'Sources and Uses Budget'!S96</f>
        <v>4326984</v>
      </c>
      <c r="F96" s="367">
        <f>SUM(F84:F87,F89:F95)</f>
        <v>4326984</v>
      </c>
      <c r="G96" s="367">
        <f>SUM(G84:G87,G89:G95)</f>
        <v>0</v>
      </c>
      <c r="H96" s="361">
        <f>'Sources and Uses Budget'!T96</f>
        <v>0</v>
      </c>
      <c r="I96" s="361">
        <f>SUM(I84:I87,I89:I95)</f>
        <v>0</v>
      </c>
      <c r="J96" s="361">
        <f>SUM(J84:J87,J89:J95)</f>
        <v>0</v>
      </c>
      <c r="K96" s="359"/>
    </row>
    <row r="97" spans="1:11" s="360" customFormat="1">
      <c r="A97" s="365" t="s">
        <v>1027</v>
      </c>
      <c r="B97" s="361">
        <f>'Sources and Uses Budget'!C97</f>
        <v>60625011</v>
      </c>
      <c r="C97" s="361">
        <f>SUM(C63+C70+C77+C81+C96)</f>
        <v>60625011</v>
      </c>
      <c r="D97" s="361">
        <f>SUM(D63+D70+D77+D81+D96)</f>
        <v>0</v>
      </c>
      <c r="E97" s="361">
        <f>'Sources and Uses Budget'!S97</f>
        <v>52333646</v>
      </c>
      <c r="F97" s="367">
        <f>SUM(+F63+F70+F81+F96)</f>
        <v>52333646</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7810550</v>
      </c>
      <c r="C99" s="362">
        <f t="shared" ref="C99:C103" si="22">B99</f>
        <v>7810550</v>
      </c>
      <c r="D99" s="362"/>
      <c r="E99" s="361">
        <f>'Sources and Uses Budget'!S99</f>
        <v>7810550</v>
      </c>
      <c r="F99" s="362">
        <f t="shared" ref="F99:F103" si="23">E99</f>
        <v>7810550</v>
      </c>
      <c r="G99" s="362"/>
      <c r="H99" s="361">
        <f>'Sources and Uses Budget'!T99</f>
        <v>0</v>
      </c>
      <c r="I99" s="362"/>
      <c r="J99" s="362"/>
      <c r="K99" s="359"/>
    </row>
    <row r="100" spans="1:11" s="360" customFormat="1" ht="11.4">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ht="11.4">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ht="11.4">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'Sources and Uses Budget'!C104</f>
        <v>7810550</v>
      </c>
      <c r="C104" s="361">
        <f>SUM(C99:C103)</f>
        <v>7810550</v>
      </c>
      <c r="D104" s="361">
        <f>SUM(D99:D103)</f>
        <v>0</v>
      </c>
      <c r="E104" s="361">
        <f>'Sources and Uses Budget'!S104</f>
        <v>7810550</v>
      </c>
      <c r="F104" s="367">
        <f>SUM(F99:F103)</f>
        <v>7810550</v>
      </c>
      <c r="G104" s="367">
        <f>SUM(G99:G103)</f>
        <v>0</v>
      </c>
      <c r="H104" s="361">
        <f>'Sources and Uses Budget'!T104</f>
        <v>0</v>
      </c>
      <c r="I104" s="367">
        <f>SUM(I99:I103)</f>
        <v>0</v>
      </c>
      <c r="J104" s="367">
        <f>SUM(J99:J103)</f>
        <v>0</v>
      </c>
      <c r="K104" s="359"/>
    </row>
    <row r="105" spans="1:11" s="360" customFormat="1">
      <c r="A105" s="365" t="s">
        <v>1028</v>
      </c>
      <c r="B105" s="361">
        <f>'Sources and Uses Budget'!C105</f>
        <v>68435561</v>
      </c>
      <c r="C105" s="367">
        <f>SUM(C97+C104)</f>
        <v>68435561</v>
      </c>
      <c r="D105" s="367">
        <f>SUM(D97+D104)</f>
        <v>0</v>
      </c>
      <c r="E105" s="361">
        <f>'Sources and Uses Budget'!S105</f>
        <v>60144196</v>
      </c>
      <c r="F105" s="367">
        <f>F97+F104</f>
        <v>60144196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'Sources and Uses Budget'!S107</f>
        <v>60144196</v>
      </c>
      <c r="F107" s="367">
        <f>F105+F106</f>
        <v>60144196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44140625" style="1256" bestFit="1" customWidth="1"/>
    <col min="67" max="68" width="5.44140625" style="1256" customWidth="1"/>
    <col min="69" max="69" width="8" style="1256" customWidth="1"/>
    <col min="70" max="70" width="6" style="1256" customWidth="1"/>
    <col min="71" max="71" width="6.109375" style="1256" customWidth="1"/>
    <col min="72" max="76" width="5.44140625" style="1256" customWidth="1"/>
    <col min="77" max="77" width="6.109375" style="1256" bestFit="1" customWidth="1"/>
    <col min="78" max="78" width="5.44140625" style="1187" bestFit="1" customWidth="1"/>
    <col min="79" max="16384" width="2.6640625" style="1187"/>
  </cols>
  <sheetData>
    <row r="1" spans="1:65" ht="15.75" customHeight="1">
      <c r="A1" s="2325" t="s">
        <v>2453</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2452</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7" t="str">
        <f>IF(Application!H18="","",Application!H18)</f>
        <v>3403 Piedmont Avenue, Oakland, CA 94607</v>
      </c>
      <c r="M4" s="2318"/>
      <c r="N4" s="2318"/>
      <c r="O4" s="2318"/>
      <c r="P4" s="2318"/>
      <c r="Q4" s="2318"/>
      <c r="R4" s="2318"/>
      <c r="S4" s="2318"/>
      <c r="T4" s="2318"/>
      <c r="U4" s="2318"/>
      <c r="V4" s="2318"/>
      <c r="W4" s="2318"/>
      <c r="X4" s="2318"/>
      <c r="Y4" s="2318"/>
      <c r="Z4" s="2318"/>
      <c r="AA4" s="2318"/>
      <c r="AB4" s="2318"/>
      <c r="AC4" s="2319"/>
      <c r="AD4" s="1190"/>
      <c r="AE4" s="1190"/>
      <c r="AF4" s="2313" t="s">
        <v>2451</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2450</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2317" t="str">
        <f>IF(Application!H16="","",Application!H16)</f>
        <v>3400 Broadway LLC</v>
      </c>
      <c r="M6" s="2318"/>
      <c r="N6" s="2318"/>
      <c r="O6" s="2318"/>
      <c r="P6" s="2318"/>
      <c r="Q6" s="2318"/>
      <c r="R6" s="2318"/>
      <c r="S6" s="2318"/>
      <c r="T6" s="2318"/>
      <c r="U6" s="2318"/>
      <c r="V6" s="2318"/>
      <c r="W6" s="2318"/>
      <c r="X6" s="2318"/>
      <c r="Y6" s="2318"/>
      <c r="Z6" s="2318"/>
      <c r="AA6" s="2318"/>
      <c r="AB6" s="2318"/>
      <c r="AC6" s="2319"/>
      <c r="AD6" s="1190"/>
      <c r="AE6" s="1190"/>
      <c r="AF6" s="2320" t="s">
        <v>2448</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2447</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ht="1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2445</v>
      </c>
      <c r="AG8" s="2320"/>
      <c r="AH8" s="2320"/>
      <c r="AI8" s="2320"/>
      <c r="AJ8" s="2320"/>
      <c r="AK8" s="2320"/>
      <c r="AL8" s="2320"/>
      <c r="AM8" s="2320"/>
      <c r="AN8" s="2320"/>
      <c r="AO8" s="2320"/>
      <c r="AP8" s="2321" t="s">
        <v>2096</v>
      </c>
      <c r="AQ8" s="2321"/>
      <c r="AR8" s="2321"/>
      <c r="AS8" s="2321"/>
      <c r="AT8" s="2321"/>
      <c r="AU8" s="2321"/>
      <c r="AV8" s="1190"/>
      <c r="AW8" s="1190"/>
      <c r="AX8" s="1190"/>
      <c r="AY8" s="1190"/>
      <c r="AZ8" s="1190"/>
      <c r="BA8" s="1190"/>
      <c r="BB8" s="1190"/>
      <c r="BC8" s="1190"/>
      <c r="BD8" s="1190"/>
      <c r="BE8" s="1191"/>
      <c r="BM8" s="1187" t="s">
        <v>1981</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2444</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2443</v>
      </c>
    </row>
    <row r="10" spans="1:65" ht="14.4">
      <c r="A10" s="1189"/>
      <c r="B10" s="1192" t="s">
        <v>2442</v>
      </c>
      <c r="C10" s="1192"/>
      <c r="D10" s="1192"/>
      <c r="E10" s="1192"/>
      <c r="F10" s="1192"/>
      <c r="G10" s="1192"/>
      <c r="H10" s="1192"/>
      <c r="I10" s="1192"/>
      <c r="J10" s="1192"/>
      <c r="K10" s="1192"/>
      <c r="L10" s="1192"/>
      <c r="M10" s="1190"/>
      <c r="N10" s="2316">
        <f>Application!AO627</f>
        <v>34099546</v>
      </c>
      <c r="O10" s="2316"/>
      <c r="P10" s="2316"/>
      <c r="Q10" s="2316"/>
      <c r="R10" s="2316"/>
      <c r="S10" s="2316"/>
      <c r="T10" s="2316"/>
      <c r="U10" s="1190"/>
      <c r="V10" s="1190"/>
      <c r="W10" s="1190"/>
      <c r="X10" s="1193"/>
      <c r="Y10" s="1193"/>
      <c r="Z10" s="1193"/>
      <c r="AA10" s="1193"/>
      <c r="AB10" s="1193"/>
      <c r="AC10" s="1193"/>
      <c r="AD10" s="1193"/>
      <c r="AE10" s="1193"/>
      <c r="AF10" s="2313" t="s">
        <v>2441</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2440</v>
      </c>
    </row>
    <row r="11" spans="1:65" ht="14.4">
      <c r="A11" s="1189"/>
      <c r="B11" s="1192" t="s">
        <v>2439</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2438</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2096</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ht="15" thickBot="1">
      <c r="A13" s="1190"/>
      <c r="B13" s="2304" t="s">
        <v>2436</v>
      </c>
      <c r="C13" s="2305"/>
      <c r="D13" s="2305"/>
      <c r="E13" s="2305"/>
      <c r="F13" s="2305"/>
      <c r="G13" s="2305"/>
      <c r="H13" s="2305"/>
      <c r="I13" s="2305"/>
      <c r="J13" s="2305"/>
      <c r="K13" s="2305"/>
      <c r="L13" s="2305"/>
      <c r="M13" s="2305"/>
      <c r="N13" s="2305"/>
      <c r="O13" s="2305"/>
      <c r="P13" s="2306"/>
      <c r="Q13" s="2307" t="s">
        <v>668</v>
      </c>
      <c r="R13" s="2308"/>
      <c r="S13" s="2308"/>
      <c r="T13" s="2309"/>
      <c r="U13" s="1193"/>
      <c r="V13" s="1190"/>
      <c r="W13" s="1190"/>
      <c r="X13" s="1190"/>
      <c r="Y13" s="1190"/>
      <c r="Z13" s="1190"/>
      <c r="AA13" s="2294" t="s">
        <v>2435</v>
      </c>
      <c r="AB13" s="2294"/>
      <c r="AC13" s="2294"/>
      <c r="AD13" s="2294"/>
      <c r="AE13" s="2294"/>
      <c r="AF13" s="2294"/>
      <c r="AG13" s="2294"/>
      <c r="AH13" s="2294"/>
      <c r="AI13" s="2294"/>
      <c r="AJ13" s="2294"/>
      <c r="AK13" s="2294"/>
      <c r="AL13" s="2294"/>
      <c r="AM13" s="2294"/>
      <c r="AN13" s="2294"/>
      <c r="AO13" s="2310">
        <f>Application!W473</f>
        <v>38</v>
      </c>
      <c r="AP13" s="2311"/>
      <c r="AQ13" s="2311"/>
      <c r="AR13" s="2311"/>
      <c r="AS13" s="2311"/>
      <c r="AT13" s="1193"/>
      <c r="AU13" s="1193"/>
      <c r="AV13" s="1193"/>
      <c r="AW13" s="1193"/>
      <c r="AX13" s="1193"/>
      <c r="AY13" s="1193"/>
      <c r="AZ13" s="1193"/>
      <c r="BA13" s="1193"/>
      <c r="BB13" s="1193"/>
      <c r="BC13" s="1193"/>
      <c r="BD13" s="1193"/>
      <c r="BE13" s="1194"/>
      <c r="BM13" s="1187" t="s">
        <v>2434</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2433</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ht="15" thickBot="1">
      <c r="A15" s="1190"/>
      <c r="B15" s="2289" t="s">
        <v>2432</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2431</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102" t="s">
        <v>2430</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2429</v>
      </c>
      <c r="C18" s="2298"/>
      <c r="D18" s="2298"/>
      <c r="E18" s="2298"/>
      <c r="F18" s="2298"/>
      <c r="G18" s="2298"/>
      <c r="H18" s="2298"/>
      <c r="I18" s="2299"/>
      <c r="J18" s="2300" t="s">
        <v>1584</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2428</v>
      </c>
      <c r="AU18" s="2301"/>
      <c r="AV18" s="2301"/>
      <c r="AW18" s="2301"/>
      <c r="AX18" s="2301"/>
      <c r="AY18" s="2303"/>
      <c r="AZ18" s="1190"/>
      <c r="BA18" s="1190"/>
      <c r="BB18" s="1190"/>
      <c r="BC18" s="1190"/>
      <c r="BD18" s="1190"/>
      <c r="BE18" s="1194"/>
    </row>
    <row r="19" spans="1:58" ht="14.4">
      <c r="A19" s="1190"/>
      <c r="B19" s="2283">
        <v>0.3</v>
      </c>
      <c r="C19" s="2284"/>
      <c r="D19" s="2284"/>
      <c r="E19" s="2284"/>
      <c r="F19" s="2284"/>
      <c r="G19" s="2284"/>
      <c r="H19" s="2284"/>
      <c r="I19" s="2285"/>
      <c r="J19" s="2286">
        <f t="shared" ref="J19:J24" si="0">SUM(P19:AS19)</f>
        <v>26</v>
      </c>
      <c r="K19" s="2287"/>
      <c r="L19" s="2287"/>
      <c r="M19" s="2287"/>
      <c r="N19" s="2287"/>
      <c r="O19" s="2288"/>
      <c r="P19" s="2286" cm="1">
        <f t="array" ref="P19">SUMPRODUCT((Application!$B$718:$B$752 = 'CalHFA Addendum'!P$18)*(Application!$AC$718:$AC$752 = 'CalHFA Addendum'!$B19),Application!$G$718:$G$752)</f>
        <v>26</v>
      </c>
      <c r="Q19" s="2287"/>
      <c r="R19" s="2287"/>
      <c r="S19" s="2287"/>
      <c r="T19" s="2287"/>
      <c r="U19" s="2288"/>
      <c r="V19" s="2286" cm="1">
        <f t="array" ref="V19">SUMPRODUCT((Application!$B$714:$B$738 = 'CalHFA Addendum'!V$18)*(Application!$AC$714:$AC$738 = 'CalHFA Addendum'!$B19),Application!$G$714:$G$738)</f>
        <v>0</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0.10441767068273092</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4.4">
      <c r="A21" s="1190"/>
      <c r="B21" s="2283">
        <v>0.5</v>
      </c>
      <c r="C21" s="2284"/>
      <c r="D21" s="2284"/>
      <c r="E21" s="2284"/>
      <c r="F21" s="2284"/>
      <c r="G21" s="2284"/>
      <c r="H21" s="2284"/>
      <c r="I21" s="2285"/>
      <c r="J21" s="2286">
        <f t="shared" si="0"/>
        <v>26</v>
      </c>
      <c r="K21" s="2287"/>
      <c r="L21" s="2287"/>
      <c r="M21" s="2287"/>
      <c r="N21" s="2287"/>
      <c r="O21" s="2288"/>
      <c r="P21" s="2286" cm="1">
        <f t="array" ref="P21">SUMPRODUCT((Application!$B$714:$B$738 = 'CalHFA Addendum'!P$18)*(Application!$AC$714:$AC$738 = 'CalHFA Addendum'!$B21),Application!$G$714:$G$738)</f>
        <v>26</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0.10441767068273092</v>
      </c>
      <c r="AU21" s="2272"/>
      <c r="AV21" s="2272"/>
      <c r="AW21" s="2272"/>
      <c r="AX21" s="2272"/>
      <c r="AY21" s="2273"/>
      <c r="AZ21" s="1190"/>
      <c r="BA21" s="1190"/>
      <c r="BB21" s="1190"/>
      <c r="BC21" s="1190"/>
      <c r="BD21" s="1190"/>
      <c r="BE21" s="1194"/>
    </row>
    <row r="22" spans="1:58" ht="14.4">
      <c r="A22" s="1190"/>
      <c r="B22" s="2283">
        <v>0.6</v>
      </c>
      <c r="C22" s="2284"/>
      <c r="D22" s="2284"/>
      <c r="E22" s="2284"/>
      <c r="F22" s="2284"/>
      <c r="G22" s="2284"/>
      <c r="H22" s="2284"/>
      <c r="I22" s="2285"/>
      <c r="J22" s="2286">
        <f t="shared" si="0"/>
        <v>176</v>
      </c>
      <c r="K22" s="2287"/>
      <c r="L22" s="2287"/>
      <c r="M22" s="2287"/>
      <c r="N22" s="2287"/>
      <c r="O22" s="2288"/>
      <c r="P22" s="2286" cm="1">
        <f t="array" ref="P22">SUMPRODUCT((Application!$B$714:$B$738 = 'CalHFA Addendum'!P$18)*(Application!$AC$714:$AC$738 = 'CalHFA Addendum'!$B22),Application!$G$714:$G$738)</f>
        <v>45</v>
      </c>
      <c r="Q22" s="2287"/>
      <c r="R22" s="2287"/>
      <c r="S22" s="2287"/>
      <c r="T22" s="2287"/>
      <c r="U22" s="2288"/>
      <c r="V22" s="2286" cm="1">
        <f t="array" ref="V22">SUMPRODUCT((Application!$B$714:$B$738 = 'CalHFA Addendum'!V$18)*(Application!$AC$714:$AC$738 = 'CalHFA Addendum'!$B22),Application!$G$714:$G$738)</f>
        <v>131</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0.70682730923694781</v>
      </c>
      <c r="AU22" s="2272"/>
      <c r="AV22" s="2272"/>
      <c r="AW22" s="2272"/>
      <c r="AX22" s="2272"/>
      <c r="AY22" s="2273"/>
      <c r="AZ22" s="1190"/>
      <c r="BA22" s="1190"/>
      <c r="BB22" s="1190"/>
      <c r="BC22" s="1190"/>
      <c r="BD22" s="1190"/>
      <c r="BE22" s="1194"/>
    </row>
    <row r="23" spans="1:58" ht="14.4">
      <c r="A23" s="1190"/>
      <c r="B23" s="2283">
        <v>0.7</v>
      </c>
      <c r="C23" s="2284"/>
      <c r="D23" s="2284"/>
      <c r="E23" s="2284"/>
      <c r="F23" s="2284"/>
      <c r="G23" s="2284"/>
      <c r="H23" s="2284"/>
      <c r="I23" s="2285"/>
      <c r="J23" s="2286">
        <f t="shared" si="0"/>
        <v>21</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21</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8.4337349397590355E-2</v>
      </c>
      <c r="AU23" s="2272"/>
      <c r="AV23" s="2272"/>
      <c r="AW23" s="2272"/>
      <c r="AX23" s="2272"/>
      <c r="AY23" s="2273"/>
      <c r="AZ23" s="1190"/>
      <c r="BA23" s="1190"/>
      <c r="BB23" s="1190"/>
      <c r="BC23" s="1190"/>
      <c r="BD23" s="1190"/>
      <c r="BE23" s="1194"/>
    </row>
    <row r="24" spans="1:58" ht="14.4">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4.4">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4.4">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4.4">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ht="15" thickBot="1">
      <c r="A28" s="1190"/>
      <c r="B28" s="2274" t="s">
        <v>2427</v>
      </c>
      <c r="C28" s="2275"/>
      <c r="D28" s="2275"/>
      <c r="E28" s="2275"/>
      <c r="F28" s="2275"/>
      <c r="G28" s="2275"/>
      <c r="H28" s="2275"/>
      <c r="I28" s="2276"/>
      <c r="J28" s="2277">
        <f>SUM(P28:AS28)</f>
        <v>0</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0</v>
      </c>
      <c r="AU28" s="2281"/>
      <c r="AV28" s="2281"/>
      <c r="AW28" s="2281"/>
      <c r="AX28" s="2281"/>
      <c r="AY28" s="2282"/>
      <c r="AZ28" s="1190"/>
      <c r="BA28" s="1190"/>
      <c r="BB28" s="1190"/>
      <c r="BC28" s="1190"/>
      <c r="BD28" s="1190"/>
      <c r="BE28" s="1194"/>
    </row>
    <row r="29" spans="1:58" ht="15" thickBot="1">
      <c r="A29" s="1190"/>
      <c r="B29" s="2257" t="s">
        <v>1584</v>
      </c>
      <c r="C29" s="2230"/>
      <c r="D29" s="2230"/>
      <c r="E29" s="2230"/>
      <c r="F29" s="2230"/>
      <c r="G29" s="2230"/>
      <c r="H29" s="2230"/>
      <c r="I29" s="2231"/>
      <c r="J29" s="2229">
        <f>SUM(J19:O28)</f>
        <v>249</v>
      </c>
      <c r="K29" s="2230"/>
      <c r="L29" s="2230"/>
      <c r="M29" s="2230"/>
      <c r="N29" s="2230"/>
      <c r="O29" s="2231"/>
      <c r="P29" s="2229">
        <f>SUM(P19:U28)</f>
        <v>97</v>
      </c>
      <c r="Q29" s="2230"/>
      <c r="R29" s="2230"/>
      <c r="S29" s="2230"/>
      <c r="T29" s="2230"/>
      <c r="U29" s="2231"/>
      <c r="V29" s="2229">
        <f>SUM(V19:AA28)</f>
        <v>131</v>
      </c>
      <c r="W29" s="2230"/>
      <c r="X29" s="2230"/>
      <c r="Y29" s="2230"/>
      <c r="Z29" s="2230"/>
      <c r="AA29" s="2231"/>
      <c r="AB29" s="2229">
        <f>SUM(AB19:AG28)</f>
        <v>21</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5" t="s">
        <v>2426</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ht="15" thickBot="1">
      <c r="A32" s="1190"/>
      <c r="B32" s="2238" t="s">
        <v>2425</v>
      </c>
      <c r="C32" s="2239"/>
      <c r="D32" s="2239"/>
      <c r="E32" s="2239"/>
      <c r="F32" s="2239"/>
      <c r="G32" s="2239"/>
      <c r="H32" s="2239"/>
      <c r="I32" s="2239"/>
      <c r="J32" s="2242" t="s">
        <v>2424</v>
      </c>
      <c r="K32" s="2243"/>
      <c r="L32" s="2243"/>
      <c r="M32" s="2243"/>
      <c r="N32" s="2242" t="s">
        <v>2423</v>
      </c>
      <c r="O32" s="2243"/>
      <c r="P32" s="2243"/>
      <c r="Q32" s="2245"/>
      <c r="R32" s="2247" t="s">
        <v>2422</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2421</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2420</v>
      </c>
      <c r="AT35" s="2259"/>
      <c r="AU35" s="2259"/>
      <c r="AV35" s="2259"/>
      <c r="AW35" s="2259"/>
      <c r="AX35" s="2267"/>
      <c r="AY35" s="2258" t="s">
        <v>2419</v>
      </c>
      <c r="AZ35" s="2259"/>
      <c r="BA35" s="2259"/>
      <c r="BB35" s="2259"/>
      <c r="BC35" s="2259"/>
      <c r="BD35" s="2260"/>
      <c r="BE35" s="1194"/>
    </row>
    <row r="36" spans="1:58" ht="15.75" customHeight="1">
      <c r="A36" s="1190"/>
      <c r="B36" s="2162" t="s">
        <v>2418</v>
      </c>
      <c r="C36" s="2163"/>
      <c r="D36" s="2163"/>
      <c r="E36" s="2163"/>
      <c r="F36" s="2163"/>
      <c r="G36" s="2163"/>
      <c r="H36" s="2163"/>
      <c r="I36" s="2163"/>
      <c r="J36" s="2227" t="s">
        <v>2417</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2416</v>
      </c>
      <c r="C37" s="2163"/>
      <c r="D37" s="2163"/>
      <c r="E37" s="2163"/>
      <c r="F37" s="2163"/>
      <c r="G37" s="2163"/>
      <c r="H37" s="2163"/>
      <c r="I37" s="2163"/>
      <c r="J37" s="2227" t="s">
        <v>2415</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2414</v>
      </c>
      <c r="C38" s="2163"/>
      <c r="D38" s="2163"/>
      <c r="E38" s="2163"/>
      <c r="F38" s="2163"/>
      <c r="G38" s="2163"/>
      <c r="H38" s="2163"/>
      <c r="I38" s="2163"/>
      <c r="J38" s="2227" t="s">
        <v>2413</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2412</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2412</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2411</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2411</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2410</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2409</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2408</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2332</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2405</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2398</v>
      </c>
      <c r="C51" s="2105"/>
      <c r="D51" s="2105"/>
      <c r="E51" s="2105"/>
      <c r="F51" s="2105"/>
      <c r="G51" s="2105"/>
      <c r="H51" s="2105"/>
      <c r="I51" s="2105"/>
      <c r="J51" s="2105" t="s">
        <v>2404</v>
      </c>
      <c r="K51" s="2105"/>
      <c r="L51" s="2105"/>
      <c r="M51" s="2105"/>
      <c r="N51" s="2105"/>
      <c r="O51" s="2105"/>
      <c r="P51" s="2105"/>
      <c r="Q51" s="2105"/>
      <c r="R51" s="2206" t="s">
        <v>2403</v>
      </c>
      <c r="S51" s="2206"/>
      <c r="T51" s="2206"/>
      <c r="U51" s="2206"/>
      <c r="V51" s="2206"/>
      <c r="W51" s="2206"/>
      <c r="X51" s="2206"/>
      <c r="Y51" s="2206"/>
      <c r="Z51" s="2206" t="s">
        <v>2402</v>
      </c>
      <c r="AA51" s="2206"/>
      <c r="AB51" s="2206"/>
      <c r="AC51" s="2206"/>
      <c r="AD51" s="2206"/>
      <c r="AE51" s="2206"/>
      <c r="AF51" s="2206"/>
      <c r="AG51" s="2206"/>
      <c r="AH51" s="2206" t="s">
        <v>2401</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2400</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2399</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1584</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2398</v>
      </c>
      <c r="C59" s="2196"/>
      <c r="D59" s="2196"/>
      <c r="E59" s="2196"/>
      <c r="F59" s="2196"/>
      <c r="G59" s="2196"/>
      <c r="H59" s="2196"/>
      <c r="I59" s="2197"/>
      <c r="J59" s="2103" t="s">
        <v>2397</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2395</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2394</v>
      </c>
      <c r="AD68" s="2029"/>
      <c r="AE68" s="2029"/>
      <c r="AF68" s="2029"/>
      <c r="AG68" s="2029"/>
      <c r="AH68" s="2029"/>
      <c r="AI68" s="2029"/>
      <c r="AJ68" s="2029"/>
      <c r="AK68" s="2029"/>
      <c r="AL68" s="2029"/>
      <c r="AM68" s="2029"/>
      <c r="AN68" s="2029"/>
      <c r="AO68" s="2029"/>
      <c r="AP68" s="2029"/>
      <c r="AQ68" s="2029"/>
      <c r="AR68" s="2029"/>
      <c r="AS68" s="2029"/>
      <c r="AT68" s="2029"/>
      <c r="AU68" s="2029"/>
      <c r="AV68" s="2179" t="s">
        <v>668</v>
      </c>
      <c r="AW68" s="2085"/>
      <c r="AX68" s="2085"/>
      <c r="AY68" s="2085"/>
      <c r="AZ68" s="2085"/>
      <c r="BA68" s="2085"/>
      <c r="BB68" s="2085"/>
      <c r="BC68" s="2086"/>
      <c r="BD68" s="1190"/>
      <c r="BE68" s="1194"/>
      <c r="BM68" s="1199" t="s">
        <v>2393</v>
      </c>
    </row>
    <row r="69" spans="1:94" ht="15.75" customHeight="1" thickTop="1" thickBot="1">
      <c r="A69" s="1190"/>
      <c r="B69" s="2180" t="s">
        <v>2392</v>
      </c>
      <c r="C69" s="2181"/>
      <c r="D69" s="2181"/>
      <c r="E69" s="2181"/>
      <c r="F69" s="2181"/>
      <c r="G69" s="2181"/>
      <c r="H69" s="2181"/>
      <c r="I69" s="2181"/>
      <c r="J69" s="2181"/>
      <c r="K69" s="2181"/>
      <c r="L69" s="2181"/>
      <c r="M69" s="2181"/>
      <c r="N69" s="2181"/>
      <c r="O69" s="2182" t="s">
        <v>2391</v>
      </c>
      <c r="P69" s="2183"/>
      <c r="Q69" s="2183"/>
      <c r="R69" s="2183"/>
      <c r="S69" s="2183"/>
      <c r="T69" s="2183"/>
      <c r="U69" s="2183"/>
      <c r="V69" s="2183"/>
      <c r="W69" s="2183"/>
      <c r="X69" s="2183"/>
      <c r="Y69" s="2183"/>
      <c r="Z69" s="2183"/>
      <c r="AA69" s="2184"/>
      <c r="AB69" s="1190"/>
      <c r="AC69" s="2185" t="s">
        <v>2390</v>
      </c>
      <c r="AD69" s="2186"/>
      <c r="AE69" s="2186"/>
      <c r="AF69" s="2186"/>
      <c r="AG69" s="2186"/>
      <c r="AH69" s="2186"/>
      <c r="AI69" s="2186"/>
      <c r="AJ69" s="2186"/>
      <c r="AK69" s="2186"/>
      <c r="AL69" s="2186"/>
      <c r="AM69" s="2186"/>
      <c r="AN69" s="2186"/>
      <c r="AO69" s="2186"/>
      <c r="AP69" s="2186"/>
      <c r="AQ69" s="2186"/>
      <c r="AR69" s="2186"/>
      <c r="AS69" s="2186"/>
      <c r="AT69" s="2186"/>
      <c r="AU69" s="2186"/>
      <c r="AV69" s="2179" t="s">
        <v>668</v>
      </c>
      <c r="AW69" s="2085"/>
      <c r="AX69" s="2085"/>
      <c r="AY69" s="2085"/>
      <c r="AZ69" s="2085"/>
      <c r="BA69" s="2085"/>
      <c r="BB69" s="2085"/>
      <c r="BC69" s="2086"/>
      <c r="BD69" s="1190"/>
      <c r="BE69" s="1194"/>
      <c r="BM69" s="1200" t="s">
        <v>544</v>
      </c>
    </row>
    <row r="70" spans="1:94" ht="15.75" customHeight="1">
      <c r="A70" s="1190"/>
      <c r="B70" s="2162" t="s">
        <v>2389</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2388</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668</v>
      </c>
    </row>
    <row r="71" spans="1:94" ht="15.75" customHeight="1" thickBot="1">
      <c r="A71" s="1190"/>
      <c r="B71" s="2162" t="s">
        <v>2387</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2386</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2385</v>
      </c>
    </row>
    <row r="72" spans="1:94" ht="15.75" customHeight="1">
      <c r="A72" s="1190"/>
      <c r="B72" s="2162" t="s">
        <v>2384</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2383</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2382</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2327</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2380</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2379</v>
      </c>
      <c r="C81" s="2157"/>
      <c r="D81" s="2157"/>
      <c r="E81" s="2157"/>
      <c r="F81" s="2157"/>
      <c r="G81" s="2157"/>
      <c r="H81" s="2157"/>
      <c r="I81" s="2157"/>
      <c r="J81" s="2157"/>
      <c r="K81" s="2157"/>
      <c r="L81" s="2157"/>
      <c r="M81" s="2157"/>
      <c r="N81" s="2157"/>
      <c r="O81" s="2157"/>
      <c r="P81" s="2157"/>
      <c r="Q81" s="2157"/>
      <c r="R81" s="2138" t="s">
        <v>2185</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2378</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2377</v>
      </c>
      <c r="AK83" s="2127"/>
      <c r="AL83" s="2127"/>
      <c r="AM83" s="2127"/>
      <c r="AN83" s="2127"/>
      <c r="AO83" s="2127"/>
      <c r="AP83" s="2127"/>
      <c r="AQ83" s="2127"/>
      <c r="AR83" s="2127"/>
      <c r="AS83" s="2127"/>
      <c r="AT83" s="2127"/>
      <c r="AU83" s="2127"/>
      <c r="AV83" s="2127"/>
      <c r="AW83" s="2127"/>
      <c r="AX83" s="2127"/>
      <c r="AY83" s="2143" t="s">
        <v>544</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2367</v>
      </c>
      <c r="J84" s="2105"/>
      <c r="K84" s="2105"/>
      <c r="L84" s="2105"/>
      <c r="M84" s="2105"/>
      <c r="N84" s="2105"/>
      <c r="O84" s="2105" t="s">
        <v>2343</v>
      </c>
      <c r="P84" s="2105"/>
      <c r="Q84" s="2105"/>
      <c r="R84" s="2105"/>
      <c r="S84" s="2105"/>
      <c r="T84" s="2105"/>
      <c r="U84" s="2105"/>
      <c r="V84" s="2141" t="s">
        <v>2342</v>
      </c>
      <c r="W84" s="2141"/>
      <c r="X84" s="2141"/>
      <c r="Y84" s="2141"/>
      <c r="Z84" s="2141"/>
      <c r="AA84" s="2141"/>
      <c r="AB84" s="2075" t="s">
        <v>2366</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2365</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2364</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2371</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2363</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2375</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2374</v>
      </c>
      <c r="C94" s="2157"/>
      <c r="D94" s="2157"/>
      <c r="E94" s="2157"/>
      <c r="F94" s="2157"/>
      <c r="G94" s="2157"/>
      <c r="H94" s="2157"/>
      <c r="I94" s="2157"/>
      <c r="J94" s="2157"/>
      <c r="K94" s="2157"/>
      <c r="L94" s="2157"/>
      <c r="M94" s="2157"/>
      <c r="N94" s="2157"/>
      <c r="O94" s="2157"/>
      <c r="P94" s="2157"/>
      <c r="Q94" s="2158"/>
      <c r="R94" s="2138" t="s">
        <v>2185</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2373</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2372</v>
      </c>
      <c r="AK96" s="2127"/>
      <c r="AL96" s="2127"/>
      <c r="AM96" s="2127"/>
      <c r="AN96" s="2127"/>
      <c r="AO96" s="2127"/>
      <c r="AP96" s="2127"/>
      <c r="AQ96" s="2127"/>
      <c r="AR96" s="2127"/>
      <c r="AS96" s="2127"/>
      <c r="AT96" s="2127"/>
      <c r="AU96" s="2127"/>
      <c r="AV96" s="2127"/>
      <c r="AW96" s="2127"/>
      <c r="AX96" s="2127"/>
      <c r="AY96" s="2143" t="s">
        <v>544</v>
      </c>
      <c r="AZ96" s="2143"/>
      <c r="BA96" s="2143"/>
      <c r="BB96" s="2144"/>
      <c r="BC96" s="1190"/>
      <c r="BD96" s="1190"/>
      <c r="BE96" s="1194"/>
      <c r="BQ96" s="1256" t="str">
        <f>Application!M243&amp;IF(TRIM(Application!AA249)&lt;&gt;""," ("&amp;Application!AA249&amp;")","")</f>
        <v>3400 Broadway LLC (3400 Broadway LLC)</v>
      </c>
      <c r="BR96" s="1259">
        <f>Application!AH246</f>
        <v>1E-3</v>
      </c>
      <c r="CM96" s="1188"/>
      <c r="CN96" s="1188"/>
      <c r="CO96" s="1188"/>
      <c r="CP96" s="1188"/>
    </row>
    <row r="97" spans="1:94" ht="15.75" customHeight="1">
      <c r="A97" s="1190"/>
      <c r="B97" s="2137"/>
      <c r="C97" s="2105"/>
      <c r="D97" s="2105"/>
      <c r="E97" s="2105"/>
      <c r="F97" s="2105"/>
      <c r="G97" s="2105"/>
      <c r="H97" s="2105"/>
      <c r="I97" s="2105" t="s">
        <v>2367</v>
      </c>
      <c r="J97" s="2105"/>
      <c r="K97" s="2105"/>
      <c r="L97" s="2105"/>
      <c r="M97" s="2105"/>
      <c r="N97" s="2105"/>
      <c r="O97" s="2105" t="s">
        <v>2343</v>
      </c>
      <c r="P97" s="2105"/>
      <c r="Q97" s="2105"/>
      <c r="R97" s="2105"/>
      <c r="S97" s="2105"/>
      <c r="T97" s="2105"/>
      <c r="U97" s="2105"/>
      <c r="V97" s="2141" t="s">
        <v>2342</v>
      </c>
      <c r="W97" s="2141"/>
      <c r="X97" s="2141"/>
      <c r="Y97" s="2141"/>
      <c r="Z97" s="2141"/>
      <c r="AA97" s="2141"/>
      <c r="AB97" s="2075" t="s">
        <v>2366</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Community Housing Works (Community Housing Works)</v>
      </c>
      <c r="BR97" s="1259">
        <f>Application!AH254</f>
        <v>1E-3</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2365</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2364</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2371</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2363</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2368</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2367</v>
      </c>
      <c r="J108" s="2105"/>
      <c r="K108" s="2105"/>
      <c r="L108" s="2105"/>
      <c r="M108" s="2105"/>
      <c r="N108" s="2105"/>
      <c r="O108" s="2105" t="s">
        <v>2343</v>
      </c>
      <c r="P108" s="2105"/>
      <c r="Q108" s="2105"/>
      <c r="R108" s="2105"/>
      <c r="S108" s="2105"/>
      <c r="T108" s="2105"/>
      <c r="U108" s="2105"/>
      <c r="V108" s="2141" t="s">
        <v>2342</v>
      </c>
      <c r="W108" s="2141"/>
      <c r="X108" s="2141"/>
      <c r="Y108" s="2141"/>
      <c r="Z108" s="2141"/>
      <c r="AA108" s="2141"/>
      <c r="AB108" s="2075" t="s">
        <v>2366</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2365</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2364</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2363</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2361</v>
      </c>
      <c r="C117" s="2111"/>
      <c r="D117" s="2111"/>
      <c r="E117" s="2111"/>
      <c r="F117" s="2111"/>
      <c r="G117" s="2111"/>
      <c r="H117" s="2111"/>
      <c r="I117" s="2111"/>
      <c r="J117" s="2111"/>
      <c r="K117" s="2111"/>
      <c r="L117" s="2111"/>
      <c r="M117" s="2111"/>
      <c r="N117" s="2111"/>
      <c r="O117" s="2111"/>
      <c r="P117" s="2111"/>
      <c r="Q117" s="2111"/>
      <c r="R117" s="2111"/>
      <c r="S117" s="2111"/>
      <c r="T117" s="2111"/>
      <c r="U117" s="2114" t="s">
        <v>544</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2361</v>
      </c>
      <c r="C121" s="2119"/>
      <c r="D121" s="2119"/>
      <c r="E121" s="2119"/>
      <c r="F121" s="2119"/>
      <c r="G121" s="2119"/>
      <c r="H121" s="2119"/>
      <c r="I121" s="2119"/>
      <c r="J121" s="2119"/>
      <c r="K121" s="2119"/>
      <c r="L121" s="2119"/>
      <c r="M121" s="2119"/>
      <c r="N121" s="2119"/>
      <c r="O121" s="2119"/>
      <c r="P121" s="2119"/>
      <c r="Q121" s="2119"/>
      <c r="R121" s="2119"/>
      <c r="S121" s="2119"/>
      <c r="T121" s="2119"/>
      <c r="U121" s="2122" t="s">
        <v>544</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2359</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1574</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2358</v>
      </c>
      <c r="J127" s="2105"/>
      <c r="K127" s="2105"/>
      <c r="L127" s="2105"/>
      <c r="M127" s="2105"/>
      <c r="N127" s="2105"/>
      <c r="O127" s="2106" t="s">
        <v>2357</v>
      </c>
      <c r="P127" s="2106"/>
      <c r="Q127" s="2106"/>
      <c r="R127" s="2106"/>
      <c r="S127" s="2106"/>
      <c r="T127" s="2106"/>
      <c r="U127" s="2107"/>
      <c r="V127" s="1190"/>
      <c r="W127" s="1190"/>
      <c r="X127" s="2045" t="s">
        <v>2327</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2341</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2340</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2355</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2343</v>
      </c>
      <c r="J134" s="2080"/>
      <c r="K134" s="2080"/>
      <c r="L134" s="2080"/>
      <c r="M134" s="2080"/>
      <c r="N134" s="2080"/>
      <c r="O134" s="2080"/>
      <c r="P134" s="2080" t="s">
        <v>2342</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2341</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2340</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2354</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544</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2353</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2352</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544</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2351</v>
      </c>
      <c r="C142" s="2088"/>
      <c r="D142" s="2088"/>
      <c r="E142" s="2088"/>
      <c r="F142" s="2088"/>
      <c r="G142" s="2088"/>
      <c r="H142" s="2088"/>
      <c r="I142" s="2088"/>
      <c r="J142" s="2088"/>
      <c r="K142" s="2088"/>
      <c r="L142" s="2088"/>
      <c r="M142" s="2088"/>
      <c r="N142" s="2088"/>
      <c r="O142" s="2088"/>
      <c r="P142" s="2088"/>
      <c r="Q142" s="2088"/>
      <c r="R142" s="2089" t="s">
        <v>2350</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2349</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2346</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2345</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2343</v>
      </c>
      <c r="J157" s="2080"/>
      <c r="K157" s="2080"/>
      <c r="L157" s="2080"/>
      <c r="M157" s="2080"/>
      <c r="N157" s="2080"/>
      <c r="O157" s="2080"/>
      <c r="P157" s="2080" t="s">
        <v>2344</v>
      </c>
      <c r="Q157" s="2080"/>
      <c r="R157" s="2080"/>
      <c r="S157" s="2080"/>
      <c r="T157" s="2080"/>
      <c r="U157" s="2081"/>
      <c r="V157" s="1190"/>
      <c r="W157" s="1190"/>
      <c r="X157" s="2042"/>
      <c r="Y157" s="2043"/>
      <c r="Z157" s="2043"/>
      <c r="AA157" s="2043"/>
      <c r="AB157" s="2043"/>
      <c r="AC157" s="2043"/>
      <c r="AD157" s="2043"/>
      <c r="AE157" s="2080" t="s">
        <v>2343</v>
      </c>
      <c r="AF157" s="2080"/>
      <c r="AG157" s="2080"/>
      <c r="AH157" s="2080"/>
      <c r="AI157" s="2080"/>
      <c r="AJ157" s="2080"/>
      <c r="AK157" s="2080"/>
      <c r="AL157" s="2080" t="s">
        <v>2342</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2341</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2341</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2340</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2339</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2324</v>
      </c>
      <c r="D163" s="2043"/>
      <c r="E163" s="2043"/>
      <c r="F163" s="2043"/>
      <c r="G163" s="2043"/>
      <c r="H163" s="2043"/>
      <c r="I163" s="2043"/>
      <c r="J163" s="2043"/>
      <c r="K163" s="2043"/>
      <c r="L163" s="2043"/>
      <c r="M163" s="2043"/>
      <c r="N163" s="2043"/>
      <c r="O163" s="2043"/>
      <c r="P163" s="2043"/>
      <c r="Q163" s="2043" t="s">
        <v>2338</v>
      </c>
      <c r="R163" s="2043"/>
      <c r="S163" s="2043"/>
      <c r="T163" s="2075" t="s">
        <v>2337</v>
      </c>
      <c r="U163" s="2075"/>
      <c r="V163" s="2075"/>
      <c r="W163" s="2075"/>
      <c r="X163" s="2075"/>
      <c r="Y163" s="2075"/>
      <c r="Z163" s="2075"/>
      <c r="AA163" s="2075"/>
      <c r="AB163" s="2043" t="s">
        <v>2336</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2335</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2334</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2333</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2332</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2313</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2313</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2313</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2331</v>
      </c>
      <c r="D172" s="2029"/>
      <c r="E172" s="2029"/>
      <c r="F172" s="2029"/>
      <c r="G172" s="2029"/>
      <c r="H172" s="2029"/>
      <c r="I172" s="2029"/>
      <c r="J172" s="2029"/>
      <c r="K172" s="2029"/>
      <c r="L172" s="2029"/>
      <c r="M172" s="2029"/>
      <c r="N172" s="2038"/>
      <c r="O172" s="1190"/>
      <c r="P172" s="2039" t="s">
        <v>2330</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2329</v>
      </c>
      <c r="D173" s="2043"/>
      <c r="E173" s="2043"/>
      <c r="F173" s="2043"/>
      <c r="G173" s="2043"/>
      <c r="H173" s="2043"/>
      <c r="I173" s="2043" t="s">
        <v>2328</v>
      </c>
      <c r="J173" s="2043"/>
      <c r="K173" s="2043"/>
      <c r="L173" s="2043"/>
      <c r="M173" s="2043"/>
      <c r="N173" s="2044"/>
      <c r="O173" s="1190"/>
      <c r="P173" s="2045" t="s">
        <v>2327</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2326</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2324</v>
      </c>
      <c r="D184" s="2029"/>
      <c r="E184" s="2029"/>
      <c r="F184" s="2029"/>
      <c r="G184" s="2029"/>
      <c r="H184" s="2029"/>
      <c r="I184" s="2029"/>
      <c r="J184" s="2029"/>
      <c r="K184" s="2029"/>
      <c r="L184" s="2029"/>
      <c r="M184" s="2029"/>
      <c r="N184" s="2029" t="s">
        <v>2325</v>
      </c>
      <c r="O184" s="2029"/>
      <c r="P184" s="2029"/>
      <c r="Q184" s="2029"/>
      <c r="R184" s="2029"/>
      <c r="S184" s="2029"/>
      <c r="T184" s="2029"/>
      <c r="U184" s="2030" t="s">
        <v>2324</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2323</v>
      </c>
      <c r="D185" s="2008"/>
      <c r="E185" s="2008"/>
      <c r="F185" s="2008"/>
      <c r="G185" s="2008"/>
      <c r="H185" s="2008"/>
      <c r="I185" s="2008"/>
      <c r="J185" s="2008"/>
      <c r="K185" s="2008"/>
      <c r="L185" s="2008"/>
      <c r="M185" s="2008"/>
      <c r="N185" s="2018">
        <f>'Sources and Uses Budget'!B105</f>
        <v>68435561</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2322</v>
      </c>
      <c r="D186" s="2008"/>
      <c r="E186" s="2008"/>
      <c r="F186" s="2008"/>
      <c r="G186" s="2008"/>
      <c r="H186" s="2008"/>
      <c r="I186" s="2008"/>
      <c r="J186" s="2008"/>
      <c r="K186" s="2008"/>
      <c r="L186" s="2008"/>
      <c r="M186" s="2008"/>
      <c r="N186" s="2018">
        <f>N185/J29</f>
        <v>274841.61044176709</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2321</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2320</v>
      </c>
      <c r="D188" s="2008"/>
      <c r="E188" s="2008"/>
      <c r="F188" s="2008"/>
      <c r="G188" s="2008"/>
      <c r="H188" s="2008"/>
      <c r="I188" s="2008"/>
      <c r="J188" s="2008"/>
      <c r="K188" s="2008"/>
      <c r="L188" s="2008"/>
      <c r="M188" s="2008"/>
      <c r="N188" s="2037">
        <f>SUM('Sources and Uses Budget'!B85:B86)</f>
        <v>1953000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2319</v>
      </c>
      <c r="D189" s="2008"/>
      <c r="E189" s="2008"/>
      <c r="F189" s="2008"/>
      <c r="G189" s="2008"/>
      <c r="H189" s="2008"/>
      <c r="I189" s="2008"/>
      <c r="J189" s="2008"/>
      <c r="K189" s="2008"/>
      <c r="L189" s="2008"/>
      <c r="M189" s="2008"/>
      <c r="N189" s="2037">
        <f>'Sources and Uses Budget'!B8</f>
        <v>4575000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2317</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2318</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2317</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2316</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2315</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2313</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2314</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2313</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2313</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2312</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2311</v>
      </c>
      <c r="D195" s="1962"/>
      <c r="E195" s="1962"/>
      <c r="F195" s="1962"/>
      <c r="G195" s="1962"/>
      <c r="H195" s="1962"/>
      <c r="I195" s="1962"/>
      <c r="J195" s="1962"/>
      <c r="K195" s="1962"/>
      <c r="L195" s="1962"/>
      <c r="M195" s="1962"/>
      <c r="N195" s="1963">
        <f>SUM(N187:T194)</f>
        <v>6528000</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2310</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2309</v>
      </c>
      <c r="D196" s="1972"/>
      <c r="E196" s="1972"/>
      <c r="F196" s="1972"/>
      <c r="G196" s="1972"/>
      <c r="H196" s="1972"/>
      <c r="I196" s="1972"/>
      <c r="J196" s="1972"/>
      <c r="K196" s="1972"/>
      <c r="L196" s="1972"/>
      <c r="M196" s="1972"/>
      <c r="N196" s="1973">
        <f>(N185-N195)/J29</f>
        <v>248624.74297188755</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2308</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2307</v>
      </c>
      <c r="D200" s="1959"/>
      <c r="E200" s="1959"/>
      <c r="F200" s="1959"/>
      <c r="G200" s="1959"/>
      <c r="H200" s="1959"/>
      <c r="I200" s="1959"/>
      <c r="J200" s="1959"/>
      <c r="K200" s="1959"/>
      <c r="L200" s="1959"/>
      <c r="M200" s="1959"/>
      <c r="N200" s="1959"/>
      <c r="O200" s="1960" t="s">
        <v>2306</v>
      </c>
      <c r="P200" s="1960"/>
      <c r="Q200" s="1960"/>
      <c r="R200" s="1960"/>
      <c r="S200" s="1960"/>
      <c r="T200" s="1960"/>
      <c r="U200" s="1960"/>
      <c r="V200" s="1960"/>
      <c r="W200" s="1960"/>
      <c r="X200" s="1960" t="s">
        <v>2305</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2304</v>
      </c>
      <c r="D201" s="1951"/>
      <c r="E201" s="1951"/>
      <c r="F201" s="1951"/>
      <c r="G201" s="1951"/>
      <c r="H201" s="1951"/>
      <c r="I201" s="1951"/>
      <c r="J201" s="1951"/>
      <c r="K201" s="1951"/>
      <c r="L201" s="1951"/>
      <c r="M201" s="1951"/>
      <c r="N201" s="1951"/>
      <c r="O201" s="1952" t="s">
        <v>2303</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853</v>
      </c>
      <c r="D202" s="1951"/>
      <c r="E202" s="1951"/>
      <c r="F202" s="1951"/>
      <c r="G202" s="1951"/>
      <c r="H202" s="1951"/>
      <c r="I202" s="1951"/>
      <c r="J202" s="1951"/>
      <c r="K202" s="1951"/>
      <c r="L202" s="1951"/>
      <c r="M202" s="1951"/>
      <c r="N202" s="1951"/>
      <c r="O202" s="1952" t="s">
        <v>2303</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2302</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2301</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2300</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2299</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2298</v>
      </c>
      <c r="D207" s="1930"/>
      <c r="E207" s="1930"/>
      <c r="F207" s="1931"/>
      <c r="G207" s="1935" t="s">
        <v>2297</v>
      </c>
      <c r="H207" s="1930"/>
      <c r="I207" s="1930"/>
      <c r="J207" s="1930"/>
      <c r="K207" s="1930"/>
      <c r="L207" s="1930"/>
      <c r="M207" s="1930"/>
      <c r="N207" s="1930"/>
      <c r="O207" s="1931"/>
      <c r="P207" s="1937" t="s">
        <v>2296</v>
      </c>
      <c r="Q207" s="1938"/>
      <c r="R207" s="1938"/>
      <c r="S207" s="1938"/>
      <c r="T207" s="1939"/>
      <c r="U207" s="1943" t="s">
        <v>2295</v>
      </c>
      <c r="V207" s="1944"/>
      <c r="W207" s="1944"/>
      <c r="X207" s="1945"/>
      <c r="Y207" s="1943" t="s">
        <v>2294</v>
      </c>
      <c r="Z207" s="1944"/>
      <c r="AA207" s="1944"/>
      <c r="AB207" s="1945"/>
      <c r="AC207" s="1943" t="s">
        <v>2293</v>
      </c>
      <c r="AD207" s="1944"/>
      <c r="AE207" s="1944"/>
      <c r="AF207" s="1945"/>
      <c r="AG207" s="1935" t="s">
        <v>2292</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1882</v>
      </c>
      <c r="H209" s="1920"/>
      <c r="I209" s="1920"/>
      <c r="J209" s="1920"/>
      <c r="K209" s="1920"/>
      <c r="L209" s="1920"/>
      <c r="M209" s="1920"/>
      <c r="N209" s="1920"/>
      <c r="O209" s="1920"/>
      <c r="P209" s="1921"/>
      <c r="Q209" s="1924"/>
      <c r="R209" s="1924"/>
      <c r="S209" s="1924"/>
      <c r="T209" s="1924"/>
      <c r="U209" s="1922" t="s">
        <v>1882</v>
      </c>
      <c r="V209" s="1922"/>
      <c r="W209" s="1922"/>
      <c r="X209" s="1922"/>
      <c r="Y209" s="1922" t="s">
        <v>1882</v>
      </c>
      <c r="Z209" s="1922"/>
      <c r="AA209" s="1922"/>
      <c r="AB209" s="1922"/>
      <c r="AC209" s="1923" t="s">
        <v>1882</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1882</v>
      </c>
      <c r="H210" s="1920"/>
      <c r="I210" s="1920"/>
      <c r="J210" s="1920"/>
      <c r="K210" s="1920"/>
      <c r="L210" s="1920"/>
      <c r="M210" s="1920"/>
      <c r="N210" s="1920"/>
      <c r="O210" s="1920"/>
      <c r="P210" s="1921"/>
      <c r="Q210" s="1921"/>
      <c r="R210" s="1921"/>
      <c r="S210" s="1921"/>
      <c r="T210" s="1921"/>
      <c r="U210" s="1922" t="s">
        <v>1882</v>
      </c>
      <c r="V210" s="1922"/>
      <c r="W210" s="1922"/>
      <c r="X210" s="1922"/>
      <c r="Y210" s="1922" t="s">
        <v>1882</v>
      </c>
      <c r="Z210" s="1922"/>
      <c r="AA210" s="1922"/>
      <c r="AB210" s="1922"/>
      <c r="AC210" s="1923" t="s">
        <v>1882</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1882</v>
      </c>
      <c r="H211" s="1920"/>
      <c r="I211" s="1920"/>
      <c r="J211" s="1920"/>
      <c r="K211" s="1920"/>
      <c r="L211" s="1920"/>
      <c r="M211" s="1920"/>
      <c r="N211" s="1920"/>
      <c r="O211" s="1920"/>
      <c r="P211" s="1921"/>
      <c r="Q211" s="1921"/>
      <c r="R211" s="1921"/>
      <c r="S211" s="1921"/>
      <c r="T211" s="1921"/>
      <c r="U211" s="1922" t="s">
        <v>1882</v>
      </c>
      <c r="V211" s="1922"/>
      <c r="W211" s="1922"/>
      <c r="X211" s="1922"/>
      <c r="Y211" s="1922" t="s">
        <v>1882</v>
      </c>
      <c r="Z211" s="1922"/>
      <c r="AA211" s="1922"/>
      <c r="AB211" s="1922"/>
      <c r="AC211" s="1923" t="s">
        <v>1882</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1882</v>
      </c>
      <c r="H212" s="1920"/>
      <c r="I212" s="1920"/>
      <c r="J212" s="1920"/>
      <c r="K212" s="1920"/>
      <c r="L212" s="1920"/>
      <c r="M212" s="1920"/>
      <c r="N212" s="1920"/>
      <c r="O212" s="1920"/>
      <c r="P212" s="1921"/>
      <c r="Q212" s="1921"/>
      <c r="R212" s="1921"/>
      <c r="S212" s="1921"/>
      <c r="T212" s="1921"/>
      <c r="U212" s="1922" t="s">
        <v>1882</v>
      </c>
      <c r="V212" s="1922"/>
      <c r="W212" s="1922"/>
      <c r="X212" s="1922"/>
      <c r="Y212" s="1922" t="s">
        <v>1882</v>
      </c>
      <c r="Z212" s="1922"/>
      <c r="AA212" s="1922"/>
      <c r="AB212" s="1922"/>
      <c r="AC212" s="1923" t="s">
        <v>1882</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1882</v>
      </c>
      <c r="H213" s="1920"/>
      <c r="I213" s="1920"/>
      <c r="J213" s="1920"/>
      <c r="K213" s="1920"/>
      <c r="L213" s="1920"/>
      <c r="M213" s="1920"/>
      <c r="N213" s="1920"/>
      <c r="O213" s="1920"/>
      <c r="P213" s="1921"/>
      <c r="Q213" s="1921"/>
      <c r="R213" s="1921"/>
      <c r="S213" s="1921"/>
      <c r="T213" s="1921"/>
      <c r="U213" s="1922" t="s">
        <v>1882</v>
      </c>
      <c r="V213" s="1922"/>
      <c r="W213" s="1922"/>
      <c r="X213" s="1922"/>
      <c r="Y213" s="1922" t="s">
        <v>1882</v>
      </c>
      <c r="Z213" s="1922"/>
      <c r="AA213" s="1922"/>
      <c r="AB213" s="1922"/>
      <c r="AC213" s="1923" t="s">
        <v>1882</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1882</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1882</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1882</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2291</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2289</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2288</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2287</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2286</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2284</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2283</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2282</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2281</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2280</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440</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2279</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2278</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80" sqref="AJ80"/>
    </sheetView>
  </sheetViews>
  <sheetFormatPr defaultColWidth="0" defaultRowHeight="12.9" customHeight="1"/>
  <cols>
    <col min="1" max="1" width="1.44140625" style="402" customWidth="1"/>
    <col min="2" max="2" width="0.88671875" style="402" customWidth="1"/>
    <col min="3" max="18" width="2.44140625" style="402" customWidth="1"/>
    <col min="19" max="19" width="6.33203125" style="402" customWidth="1"/>
    <col min="20" max="39" width="2.6640625" style="402" customWidth="1"/>
    <col min="40" max="40" width="1.44140625" style="402" customWidth="1"/>
    <col min="41" max="256" width="2.44140625" style="402" hidden="1"/>
    <col min="257" max="257" width="1.44140625" style="402" hidden="1" customWidth="1"/>
    <col min="258" max="258" width="0.88671875" style="402" hidden="1" customWidth="1"/>
    <col min="259" max="274" width="2.44140625" style="402" hidden="1" customWidth="1"/>
    <col min="275" max="275" width="4" style="402" hidden="1" customWidth="1"/>
    <col min="276" max="295" width="2.44140625" style="402" hidden="1" customWidth="1"/>
    <col min="296" max="296" width="1.44140625" style="402" hidden="1" customWidth="1"/>
    <col min="297" max="512" width="2.44140625" style="402" hidden="1"/>
    <col min="513" max="513" width="1.44140625" style="402" hidden="1" customWidth="1"/>
    <col min="514" max="514" width="0.88671875" style="402" hidden="1" customWidth="1"/>
    <col min="515" max="530" width="2.44140625" style="402" hidden="1" customWidth="1"/>
    <col min="531" max="531" width="4" style="402" hidden="1" customWidth="1"/>
    <col min="532" max="551" width="2.44140625" style="402" hidden="1" customWidth="1"/>
    <col min="552" max="552" width="1.44140625" style="402" hidden="1" customWidth="1"/>
    <col min="553" max="768" width="2.44140625" style="402" hidden="1"/>
    <col min="769" max="769" width="1.44140625" style="402" hidden="1" customWidth="1"/>
    <col min="770" max="770" width="0.88671875" style="402" hidden="1" customWidth="1"/>
    <col min="771" max="786" width="2.44140625" style="402" hidden="1" customWidth="1"/>
    <col min="787" max="787" width="4" style="402" hidden="1" customWidth="1"/>
    <col min="788" max="807" width="2.44140625" style="402" hidden="1" customWidth="1"/>
    <col min="808" max="808" width="1.44140625" style="402" hidden="1" customWidth="1"/>
    <col min="809" max="1024" width="2.44140625" style="402" hidden="1"/>
    <col min="1025" max="1025" width="1.44140625" style="402" hidden="1" customWidth="1"/>
    <col min="1026" max="1026" width="0.88671875" style="402" hidden="1" customWidth="1"/>
    <col min="1027" max="1042" width="2.44140625" style="402" hidden="1" customWidth="1"/>
    <col min="1043" max="1043" width="4" style="402" hidden="1" customWidth="1"/>
    <col min="1044" max="1063" width="2.44140625" style="402" hidden="1" customWidth="1"/>
    <col min="1064" max="1064" width="1.44140625" style="402" hidden="1" customWidth="1"/>
    <col min="1065" max="1280" width="2.44140625" style="402" hidden="1"/>
    <col min="1281" max="1281" width="1.44140625" style="402" hidden="1" customWidth="1"/>
    <col min="1282" max="1282" width="0.88671875" style="402" hidden="1" customWidth="1"/>
    <col min="1283" max="1298" width="2.44140625" style="402" hidden="1" customWidth="1"/>
    <col min="1299" max="1299" width="4" style="402" hidden="1" customWidth="1"/>
    <col min="1300" max="1319" width="2.44140625" style="402" hidden="1" customWidth="1"/>
    <col min="1320" max="1320" width="1.44140625" style="402" hidden="1" customWidth="1"/>
    <col min="1321" max="1536" width="2.44140625" style="402" hidden="1"/>
    <col min="1537" max="1537" width="1.44140625" style="402" hidden="1" customWidth="1"/>
    <col min="1538" max="1538" width="0.88671875" style="402" hidden="1" customWidth="1"/>
    <col min="1539" max="1554" width="2.44140625" style="402" hidden="1" customWidth="1"/>
    <col min="1555" max="1555" width="4" style="402" hidden="1" customWidth="1"/>
    <col min="1556" max="1575" width="2.44140625" style="402" hidden="1" customWidth="1"/>
    <col min="1576" max="1576" width="1.44140625" style="402" hidden="1" customWidth="1"/>
    <col min="1577" max="1792" width="2.44140625" style="402" hidden="1"/>
    <col min="1793" max="1793" width="1.44140625" style="402" hidden="1" customWidth="1"/>
    <col min="1794" max="1794" width="0.88671875" style="402" hidden="1" customWidth="1"/>
    <col min="1795" max="1810" width="2.44140625" style="402" hidden="1" customWidth="1"/>
    <col min="1811" max="1811" width="4" style="402" hidden="1" customWidth="1"/>
    <col min="1812" max="1831" width="2.44140625" style="402" hidden="1" customWidth="1"/>
    <col min="1832" max="1832" width="1.44140625" style="402" hidden="1" customWidth="1"/>
    <col min="1833" max="2048" width="2.44140625" style="402" hidden="1"/>
    <col min="2049" max="2049" width="1.44140625" style="402" hidden="1" customWidth="1"/>
    <col min="2050" max="2050" width="0.88671875" style="402" hidden="1" customWidth="1"/>
    <col min="2051" max="2066" width="2.44140625" style="402" hidden="1" customWidth="1"/>
    <col min="2067" max="2067" width="4" style="402" hidden="1" customWidth="1"/>
    <col min="2068" max="2087" width="2.44140625" style="402" hidden="1" customWidth="1"/>
    <col min="2088" max="2088" width="1.44140625" style="402" hidden="1" customWidth="1"/>
    <col min="2089" max="2304" width="2.44140625" style="402" hidden="1"/>
    <col min="2305" max="2305" width="1.44140625" style="402" hidden="1" customWidth="1"/>
    <col min="2306" max="2306" width="0.88671875" style="402" hidden="1" customWidth="1"/>
    <col min="2307" max="2322" width="2.44140625" style="402" hidden="1" customWidth="1"/>
    <col min="2323" max="2323" width="4" style="402" hidden="1" customWidth="1"/>
    <col min="2324" max="2343" width="2.44140625" style="402" hidden="1" customWidth="1"/>
    <col min="2344" max="2344" width="1.44140625" style="402" hidden="1" customWidth="1"/>
    <col min="2345" max="2560" width="2.44140625" style="402" hidden="1"/>
    <col min="2561" max="2561" width="1.44140625" style="402" hidden="1" customWidth="1"/>
    <col min="2562" max="2562" width="0.88671875" style="402" hidden="1" customWidth="1"/>
    <col min="2563" max="2578" width="2.44140625" style="402" hidden="1" customWidth="1"/>
    <col min="2579" max="2579" width="4" style="402" hidden="1" customWidth="1"/>
    <col min="2580" max="2599" width="2.44140625" style="402" hidden="1" customWidth="1"/>
    <col min="2600" max="2600" width="1.44140625" style="402" hidden="1" customWidth="1"/>
    <col min="2601" max="2816" width="2.44140625" style="402" hidden="1"/>
    <col min="2817" max="2817" width="1.44140625" style="402" hidden="1" customWidth="1"/>
    <col min="2818" max="2818" width="0.88671875" style="402" hidden="1" customWidth="1"/>
    <col min="2819" max="2834" width="2.44140625" style="402" hidden="1" customWidth="1"/>
    <col min="2835" max="2835" width="4" style="402" hidden="1" customWidth="1"/>
    <col min="2836" max="2855" width="2.44140625" style="402" hidden="1" customWidth="1"/>
    <col min="2856" max="2856" width="1.44140625" style="402" hidden="1" customWidth="1"/>
    <col min="2857" max="3072" width="2.44140625" style="402" hidden="1"/>
    <col min="3073" max="3073" width="1.44140625" style="402" hidden="1" customWidth="1"/>
    <col min="3074" max="3074" width="0.88671875" style="402" hidden="1" customWidth="1"/>
    <col min="3075" max="3090" width="2.44140625" style="402" hidden="1" customWidth="1"/>
    <col min="3091" max="3091" width="4" style="402" hidden="1" customWidth="1"/>
    <col min="3092" max="3111" width="2.44140625" style="402" hidden="1" customWidth="1"/>
    <col min="3112" max="3112" width="1.44140625" style="402" hidden="1" customWidth="1"/>
    <col min="3113" max="3328" width="2.44140625" style="402" hidden="1"/>
    <col min="3329" max="3329" width="1.44140625" style="402" hidden="1" customWidth="1"/>
    <col min="3330" max="3330" width="0.88671875" style="402" hidden="1" customWidth="1"/>
    <col min="3331" max="3346" width="2.44140625" style="402" hidden="1" customWidth="1"/>
    <col min="3347" max="3347" width="4" style="402" hidden="1" customWidth="1"/>
    <col min="3348" max="3367" width="2.44140625" style="402" hidden="1" customWidth="1"/>
    <col min="3368" max="3368" width="1.44140625" style="402" hidden="1" customWidth="1"/>
    <col min="3369" max="3584" width="2.44140625" style="402" hidden="1"/>
    <col min="3585" max="3585" width="1.44140625" style="402" hidden="1" customWidth="1"/>
    <col min="3586" max="3586" width="0.88671875" style="402" hidden="1" customWidth="1"/>
    <col min="3587" max="3602" width="2.44140625" style="402" hidden="1" customWidth="1"/>
    <col min="3603" max="3603" width="4" style="402" hidden="1" customWidth="1"/>
    <col min="3604" max="3623" width="2.44140625" style="402" hidden="1" customWidth="1"/>
    <col min="3624" max="3624" width="1.44140625" style="402" hidden="1" customWidth="1"/>
    <col min="3625" max="3840" width="2.44140625" style="402" hidden="1"/>
    <col min="3841" max="3841" width="1.44140625" style="402" hidden="1" customWidth="1"/>
    <col min="3842" max="3842" width="0.88671875" style="402" hidden="1" customWidth="1"/>
    <col min="3843" max="3858" width="2.44140625" style="402" hidden="1" customWidth="1"/>
    <col min="3859" max="3859" width="4" style="402" hidden="1" customWidth="1"/>
    <col min="3860" max="3879" width="2.44140625" style="402" hidden="1" customWidth="1"/>
    <col min="3880" max="3880" width="1.44140625" style="402" hidden="1" customWidth="1"/>
    <col min="3881" max="4096" width="2.44140625" style="402" hidden="1"/>
    <col min="4097" max="4097" width="1.44140625" style="402" hidden="1" customWidth="1"/>
    <col min="4098" max="4098" width="0.88671875" style="402" hidden="1" customWidth="1"/>
    <col min="4099" max="4114" width="2.44140625" style="402" hidden="1" customWidth="1"/>
    <col min="4115" max="4115" width="4" style="402" hidden="1" customWidth="1"/>
    <col min="4116" max="4135" width="2.44140625" style="402" hidden="1" customWidth="1"/>
    <col min="4136" max="4136" width="1.44140625" style="402" hidden="1" customWidth="1"/>
    <col min="4137" max="4352" width="2.44140625" style="402" hidden="1"/>
    <col min="4353" max="4353" width="1.44140625" style="402" hidden="1" customWidth="1"/>
    <col min="4354" max="4354" width="0.88671875" style="402" hidden="1" customWidth="1"/>
    <col min="4355" max="4370" width="2.44140625" style="402" hidden="1" customWidth="1"/>
    <col min="4371" max="4371" width="4" style="402" hidden="1" customWidth="1"/>
    <col min="4372" max="4391" width="2.44140625" style="402" hidden="1" customWidth="1"/>
    <col min="4392" max="4392" width="1.44140625" style="402" hidden="1" customWidth="1"/>
    <col min="4393" max="4608" width="2.44140625" style="402" hidden="1"/>
    <col min="4609" max="4609" width="1.44140625" style="402" hidden="1" customWidth="1"/>
    <col min="4610" max="4610" width="0.88671875" style="402" hidden="1" customWidth="1"/>
    <col min="4611" max="4626" width="2.44140625" style="402" hidden="1" customWidth="1"/>
    <col min="4627" max="4627" width="4" style="402" hidden="1" customWidth="1"/>
    <col min="4628" max="4647" width="2.44140625" style="402" hidden="1" customWidth="1"/>
    <col min="4648" max="4648" width="1.44140625" style="402" hidden="1" customWidth="1"/>
    <col min="4649" max="4864" width="2.44140625" style="402" hidden="1"/>
    <col min="4865" max="4865" width="1.44140625" style="402" hidden="1" customWidth="1"/>
    <col min="4866" max="4866" width="0.88671875" style="402" hidden="1" customWidth="1"/>
    <col min="4867" max="4882" width="2.44140625" style="402" hidden="1" customWidth="1"/>
    <col min="4883" max="4883" width="4" style="402" hidden="1" customWidth="1"/>
    <col min="4884" max="4903" width="2.44140625" style="402" hidden="1" customWidth="1"/>
    <col min="4904" max="4904" width="1.44140625" style="402" hidden="1" customWidth="1"/>
    <col min="4905" max="5120" width="2.44140625" style="402" hidden="1"/>
    <col min="5121" max="5121" width="1.44140625" style="402" hidden="1" customWidth="1"/>
    <col min="5122" max="5122" width="0.88671875" style="402" hidden="1" customWidth="1"/>
    <col min="5123" max="5138" width="2.44140625" style="402" hidden="1" customWidth="1"/>
    <col min="5139" max="5139" width="4" style="402" hidden="1" customWidth="1"/>
    <col min="5140" max="5159" width="2.44140625" style="402" hidden="1" customWidth="1"/>
    <col min="5160" max="5160" width="1.44140625" style="402" hidden="1" customWidth="1"/>
    <col min="5161" max="5376" width="2.44140625" style="402" hidden="1"/>
    <col min="5377" max="5377" width="1.44140625" style="402" hidden="1" customWidth="1"/>
    <col min="5378" max="5378" width="0.88671875" style="402" hidden="1" customWidth="1"/>
    <col min="5379" max="5394" width="2.44140625" style="402" hidden="1" customWidth="1"/>
    <col min="5395" max="5395" width="4" style="402" hidden="1" customWidth="1"/>
    <col min="5396" max="5415" width="2.44140625" style="402" hidden="1" customWidth="1"/>
    <col min="5416" max="5416" width="1.44140625" style="402" hidden="1" customWidth="1"/>
    <col min="5417" max="5632" width="2.44140625" style="402" hidden="1"/>
    <col min="5633" max="5633" width="1.44140625" style="402" hidden="1" customWidth="1"/>
    <col min="5634" max="5634" width="0.88671875" style="402" hidden="1" customWidth="1"/>
    <col min="5635" max="5650" width="2.44140625" style="402" hidden="1" customWidth="1"/>
    <col min="5651" max="5651" width="4" style="402" hidden="1" customWidth="1"/>
    <col min="5652" max="5671" width="2.44140625" style="402" hidden="1" customWidth="1"/>
    <col min="5672" max="5672" width="1.44140625" style="402" hidden="1" customWidth="1"/>
    <col min="5673" max="5888" width="2.44140625" style="402" hidden="1"/>
    <col min="5889" max="5889" width="1.44140625" style="402" hidden="1" customWidth="1"/>
    <col min="5890" max="5890" width="0.88671875" style="402" hidden="1" customWidth="1"/>
    <col min="5891" max="5906" width="2.44140625" style="402" hidden="1" customWidth="1"/>
    <col min="5907" max="5907" width="4" style="402" hidden="1" customWidth="1"/>
    <col min="5908" max="5927" width="2.44140625" style="402" hidden="1" customWidth="1"/>
    <col min="5928" max="5928" width="1.44140625" style="402" hidden="1" customWidth="1"/>
    <col min="5929" max="6144" width="2.44140625" style="402" hidden="1"/>
    <col min="6145" max="6145" width="1.44140625" style="402" hidden="1" customWidth="1"/>
    <col min="6146" max="6146" width="0.88671875" style="402" hidden="1" customWidth="1"/>
    <col min="6147" max="6162" width="2.44140625" style="402" hidden="1" customWidth="1"/>
    <col min="6163" max="6163" width="4" style="402" hidden="1" customWidth="1"/>
    <col min="6164" max="6183" width="2.44140625" style="402" hidden="1" customWidth="1"/>
    <col min="6184" max="6184" width="1.44140625" style="402" hidden="1" customWidth="1"/>
    <col min="6185" max="6400" width="2.44140625" style="402" hidden="1"/>
    <col min="6401" max="6401" width="1.44140625" style="402" hidden="1" customWidth="1"/>
    <col min="6402" max="6402" width="0.88671875" style="402" hidden="1" customWidth="1"/>
    <col min="6403" max="6418" width="2.44140625" style="402" hidden="1" customWidth="1"/>
    <col min="6419" max="6419" width="4" style="402" hidden="1" customWidth="1"/>
    <col min="6420" max="6439" width="2.44140625" style="402" hidden="1" customWidth="1"/>
    <col min="6440" max="6440" width="1.44140625" style="402" hidden="1" customWidth="1"/>
    <col min="6441" max="6656" width="2.44140625" style="402" hidden="1"/>
    <col min="6657" max="6657" width="1.44140625" style="402" hidden="1" customWidth="1"/>
    <col min="6658" max="6658" width="0.88671875" style="402" hidden="1" customWidth="1"/>
    <col min="6659" max="6674" width="2.44140625" style="402" hidden="1" customWidth="1"/>
    <col min="6675" max="6675" width="4" style="402" hidden="1" customWidth="1"/>
    <col min="6676" max="6695" width="2.44140625" style="402" hidden="1" customWidth="1"/>
    <col min="6696" max="6696" width="1.44140625" style="402" hidden="1" customWidth="1"/>
    <col min="6697" max="6912" width="2.44140625" style="402" hidden="1"/>
    <col min="6913" max="6913" width="1.44140625" style="402" hidden="1" customWidth="1"/>
    <col min="6914" max="6914" width="0.88671875" style="402" hidden="1" customWidth="1"/>
    <col min="6915" max="6930" width="2.44140625" style="402" hidden="1" customWidth="1"/>
    <col min="6931" max="6931" width="4" style="402" hidden="1" customWidth="1"/>
    <col min="6932" max="6951" width="2.44140625" style="402" hidden="1" customWidth="1"/>
    <col min="6952" max="6952" width="1.44140625" style="402" hidden="1" customWidth="1"/>
    <col min="6953" max="7168" width="2.44140625" style="402" hidden="1"/>
    <col min="7169" max="7169" width="1.44140625" style="402" hidden="1" customWidth="1"/>
    <col min="7170" max="7170" width="0.88671875" style="402" hidden="1" customWidth="1"/>
    <col min="7171" max="7186" width="2.44140625" style="402" hidden="1" customWidth="1"/>
    <col min="7187" max="7187" width="4" style="402" hidden="1" customWidth="1"/>
    <col min="7188" max="7207" width="2.44140625" style="402" hidden="1" customWidth="1"/>
    <col min="7208" max="7208" width="1.44140625" style="402" hidden="1" customWidth="1"/>
    <col min="7209" max="7424" width="2.44140625" style="402" hidden="1"/>
    <col min="7425" max="7425" width="1.44140625" style="402" hidden="1" customWidth="1"/>
    <col min="7426" max="7426" width="0.88671875" style="402" hidden="1" customWidth="1"/>
    <col min="7427" max="7442" width="2.44140625" style="402" hidden="1" customWidth="1"/>
    <col min="7443" max="7443" width="4" style="402" hidden="1" customWidth="1"/>
    <col min="7444" max="7463" width="2.44140625" style="402" hidden="1" customWidth="1"/>
    <col min="7464" max="7464" width="1.44140625" style="402" hidden="1" customWidth="1"/>
    <col min="7465" max="7680" width="2.44140625" style="402" hidden="1"/>
    <col min="7681" max="7681" width="1.44140625" style="402" hidden="1" customWidth="1"/>
    <col min="7682" max="7682" width="0.88671875" style="402" hidden="1" customWidth="1"/>
    <col min="7683" max="7698" width="2.44140625" style="402" hidden="1" customWidth="1"/>
    <col min="7699" max="7699" width="4" style="402" hidden="1" customWidth="1"/>
    <col min="7700" max="7719" width="2.44140625" style="402" hidden="1" customWidth="1"/>
    <col min="7720" max="7720" width="1.44140625" style="402" hidden="1" customWidth="1"/>
    <col min="7721" max="7936" width="2.44140625" style="402" hidden="1"/>
    <col min="7937" max="7937" width="1.44140625" style="402" hidden="1" customWidth="1"/>
    <col min="7938" max="7938" width="0.88671875" style="402" hidden="1" customWidth="1"/>
    <col min="7939" max="7954" width="2.44140625" style="402" hidden="1" customWidth="1"/>
    <col min="7955" max="7955" width="4" style="402" hidden="1" customWidth="1"/>
    <col min="7956" max="7975" width="2.44140625" style="402" hidden="1" customWidth="1"/>
    <col min="7976" max="7976" width="1.44140625" style="402" hidden="1" customWidth="1"/>
    <col min="7977" max="8192" width="2.44140625" style="402" hidden="1"/>
    <col min="8193" max="8193" width="1.44140625" style="402" hidden="1" customWidth="1"/>
    <col min="8194" max="8194" width="0.88671875" style="402" hidden="1" customWidth="1"/>
    <col min="8195" max="8210" width="2.44140625" style="402" hidden="1" customWidth="1"/>
    <col min="8211" max="8211" width="4" style="402" hidden="1" customWidth="1"/>
    <col min="8212" max="8231" width="2.44140625" style="402" hidden="1" customWidth="1"/>
    <col min="8232" max="8232" width="1.44140625" style="402" hidden="1" customWidth="1"/>
    <col min="8233" max="8448" width="2.44140625" style="402" hidden="1"/>
    <col min="8449" max="8449" width="1.44140625" style="402" hidden="1" customWidth="1"/>
    <col min="8450" max="8450" width="0.88671875" style="402" hidden="1" customWidth="1"/>
    <col min="8451" max="8466" width="2.44140625" style="402" hidden="1" customWidth="1"/>
    <col min="8467" max="8467" width="4" style="402" hidden="1" customWidth="1"/>
    <col min="8468" max="8487" width="2.44140625" style="402" hidden="1" customWidth="1"/>
    <col min="8488" max="8488" width="1.44140625" style="402" hidden="1" customWidth="1"/>
    <col min="8489" max="8704" width="2.44140625" style="402" hidden="1"/>
    <col min="8705" max="8705" width="1.44140625" style="402" hidden="1" customWidth="1"/>
    <col min="8706" max="8706" width="0.88671875" style="402" hidden="1" customWidth="1"/>
    <col min="8707" max="8722" width="2.44140625" style="402" hidden="1" customWidth="1"/>
    <col min="8723" max="8723" width="4" style="402" hidden="1" customWidth="1"/>
    <col min="8724" max="8743" width="2.44140625" style="402" hidden="1" customWidth="1"/>
    <col min="8744" max="8744" width="1.44140625" style="402" hidden="1" customWidth="1"/>
    <col min="8745" max="8960" width="2.44140625" style="402" hidden="1"/>
    <col min="8961" max="8961" width="1.44140625" style="402" hidden="1" customWidth="1"/>
    <col min="8962" max="8962" width="0.88671875" style="402" hidden="1" customWidth="1"/>
    <col min="8963" max="8978" width="2.44140625" style="402" hidden="1" customWidth="1"/>
    <col min="8979" max="8979" width="4" style="402" hidden="1" customWidth="1"/>
    <col min="8980" max="8999" width="2.44140625" style="402" hidden="1" customWidth="1"/>
    <col min="9000" max="9000" width="1.44140625" style="402" hidden="1" customWidth="1"/>
    <col min="9001" max="9216" width="2.44140625" style="402" hidden="1"/>
    <col min="9217" max="9217" width="1.44140625" style="402" hidden="1" customWidth="1"/>
    <col min="9218" max="9218" width="0.88671875" style="402" hidden="1" customWidth="1"/>
    <col min="9219" max="9234" width="2.44140625" style="402" hidden="1" customWidth="1"/>
    <col min="9235" max="9235" width="4" style="402" hidden="1" customWidth="1"/>
    <col min="9236" max="9255" width="2.44140625" style="402" hidden="1" customWidth="1"/>
    <col min="9256" max="9256" width="1.44140625" style="402" hidden="1" customWidth="1"/>
    <col min="9257" max="9472" width="2.44140625" style="402" hidden="1"/>
    <col min="9473" max="9473" width="1.44140625" style="402" hidden="1" customWidth="1"/>
    <col min="9474" max="9474" width="0.88671875" style="402" hidden="1" customWidth="1"/>
    <col min="9475" max="9490" width="2.44140625" style="402" hidden="1" customWidth="1"/>
    <col min="9491" max="9491" width="4" style="402" hidden="1" customWidth="1"/>
    <col min="9492" max="9511" width="2.44140625" style="402" hidden="1" customWidth="1"/>
    <col min="9512" max="9512" width="1.44140625" style="402" hidden="1" customWidth="1"/>
    <col min="9513" max="9728" width="2.44140625" style="402" hidden="1"/>
    <col min="9729" max="9729" width="1.44140625" style="402" hidden="1" customWidth="1"/>
    <col min="9730" max="9730" width="0.88671875" style="402" hidden="1" customWidth="1"/>
    <col min="9731" max="9746" width="2.44140625" style="402" hidden="1" customWidth="1"/>
    <col min="9747" max="9747" width="4" style="402" hidden="1" customWidth="1"/>
    <col min="9748" max="9767" width="2.44140625" style="402" hidden="1" customWidth="1"/>
    <col min="9768" max="9768" width="1.44140625" style="402" hidden="1" customWidth="1"/>
    <col min="9769" max="9984" width="2.44140625" style="402" hidden="1"/>
    <col min="9985" max="9985" width="1.44140625" style="402" hidden="1" customWidth="1"/>
    <col min="9986" max="9986" width="0.88671875" style="402" hidden="1" customWidth="1"/>
    <col min="9987" max="10002" width="2.44140625" style="402" hidden="1" customWidth="1"/>
    <col min="10003" max="10003" width="4" style="402" hidden="1" customWidth="1"/>
    <col min="10004" max="10023" width="2.44140625" style="402" hidden="1" customWidth="1"/>
    <col min="10024" max="10024" width="1.44140625" style="402" hidden="1" customWidth="1"/>
    <col min="10025" max="10240" width="2.44140625" style="402" hidden="1"/>
    <col min="10241" max="10241" width="1.44140625" style="402" hidden="1" customWidth="1"/>
    <col min="10242" max="10242" width="0.88671875" style="402" hidden="1" customWidth="1"/>
    <col min="10243" max="10258" width="2.44140625" style="402" hidden="1" customWidth="1"/>
    <col min="10259" max="10259" width="4" style="402" hidden="1" customWidth="1"/>
    <col min="10260" max="10279" width="2.44140625" style="402" hidden="1" customWidth="1"/>
    <col min="10280" max="10280" width="1.44140625" style="402" hidden="1" customWidth="1"/>
    <col min="10281" max="10496" width="2.44140625" style="402" hidden="1"/>
    <col min="10497" max="10497" width="1.44140625" style="402" hidden="1" customWidth="1"/>
    <col min="10498" max="10498" width="0.88671875" style="402" hidden="1" customWidth="1"/>
    <col min="10499" max="10514" width="2.44140625" style="402" hidden="1" customWidth="1"/>
    <col min="10515" max="10515" width="4" style="402" hidden="1" customWidth="1"/>
    <col min="10516" max="10535" width="2.44140625" style="402" hidden="1" customWidth="1"/>
    <col min="10536" max="10536" width="1.44140625" style="402" hidden="1" customWidth="1"/>
    <col min="10537" max="10752" width="2.44140625" style="402" hidden="1"/>
    <col min="10753" max="10753" width="1.44140625" style="402" hidden="1" customWidth="1"/>
    <col min="10754" max="10754" width="0.88671875" style="402" hidden="1" customWidth="1"/>
    <col min="10755" max="10770" width="2.44140625" style="402" hidden="1" customWidth="1"/>
    <col min="10771" max="10771" width="4" style="402" hidden="1" customWidth="1"/>
    <col min="10772" max="10791" width="2.44140625" style="402" hidden="1" customWidth="1"/>
    <col min="10792" max="10792" width="1.44140625" style="402" hidden="1" customWidth="1"/>
    <col min="10793" max="11008" width="2.44140625" style="402" hidden="1"/>
    <col min="11009" max="11009" width="1.44140625" style="402" hidden="1" customWidth="1"/>
    <col min="11010" max="11010" width="0.88671875" style="402" hidden="1" customWidth="1"/>
    <col min="11011" max="11026" width="2.44140625" style="402" hidden="1" customWidth="1"/>
    <col min="11027" max="11027" width="4" style="402" hidden="1" customWidth="1"/>
    <col min="11028" max="11047" width="2.44140625" style="402" hidden="1" customWidth="1"/>
    <col min="11048" max="11048" width="1.44140625" style="402" hidden="1" customWidth="1"/>
    <col min="11049" max="11264" width="2.44140625" style="402" hidden="1"/>
    <col min="11265" max="11265" width="1.44140625" style="402" hidden="1" customWidth="1"/>
    <col min="11266" max="11266" width="0.88671875" style="402" hidden="1" customWidth="1"/>
    <col min="11267" max="11282" width="2.44140625" style="402" hidden="1" customWidth="1"/>
    <col min="11283" max="11283" width="4" style="402" hidden="1" customWidth="1"/>
    <col min="11284" max="11303" width="2.44140625" style="402" hidden="1" customWidth="1"/>
    <col min="11304" max="11304" width="1.44140625" style="402" hidden="1" customWidth="1"/>
    <col min="11305" max="11520" width="2.44140625" style="402" hidden="1"/>
    <col min="11521" max="11521" width="1.44140625" style="402" hidden="1" customWidth="1"/>
    <col min="11522" max="11522" width="0.88671875" style="402" hidden="1" customWidth="1"/>
    <col min="11523" max="11538" width="2.44140625" style="402" hidden="1" customWidth="1"/>
    <col min="11539" max="11539" width="4" style="402" hidden="1" customWidth="1"/>
    <col min="11540" max="11559" width="2.44140625" style="402" hidden="1" customWidth="1"/>
    <col min="11560" max="11560" width="1.44140625" style="402" hidden="1" customWidth="1"/>
    <col min="11561" max="11776" width="2.44140625" style="402" hidden="1"/>
    <col min="11777" max="11777" width="1.44140625" style="402" hidden="1" customWidth="1"/>
    <col min="11778" max="11778" width="0.88671875" style="402" hidden="1" customWidth="1"/>
    <col min="11779" max="11794" width="2.44140625" style="402" hidden="1" customWidth="1"/>
    <col min="11795" max="11795" width="4" style="402" hidden="1" customWidth="1"/>
    <col min="11796" max="11815" width="2.44140625" style="402" hidden="1" customWidth="1"/>
    <col min="11816" max="11816" width="1.44140625" style="402" hidden="1" customWidth="1"/>
    <col min="11817" max="12032" width="2.44140625" style="402" hidden="1"/>
    <col min="12033" max="12033" width="1.44140625" style="402" hidden="1" customWidth="1"/>
    <col min="12034" max="12034" width="0.88671875" style="402" hidden="1" customWidth="1"/>
    <col min="12035" max="12050" width="2.44140625" style="402" hidden="1" customWidth="1"/>
    <col min="12051" max="12051" width="4" style="402" hidden="1" customWidth="1"/>
    <col min="12052" max="12071" width="2.44140625" style="402" hidden="1" customWidth="1"/>
    <col min="12072" max="12072" width="1.44140625" style="402" hidden="1" customWidth="1"/>
    <col min="12073" max="12288" width="2.44140625" style="402" hidden="1"/>
    <col min="12289" max="12289" width="1.44140625" style="402" hidden="1" customWidth="1"/>
    <col min="12290" max="12290" width="0.88671875" style="402" hidden="1" customWidth="1"/>
    <col min="12291" max="12306" width="2.44140625" style="402" hidden="1" customWidth="1"/>
    <col min="12307" max="12307" width="4" style="402" hidden="1" customWidth="1"/>
    <col min="12308" max="12327" width="2.44140625" style="402" hidden="1" customWidth="1"/>
    <col min="12328" max="12328" width="1.44140625" style="402" hidden="1" customWidth="1"/>
    <col min="12329" max="12544" width="2.44140625" style="402" hidden="1"/>
    <col min="12545" max="12545" width="1.44140625" style="402" hidden="1" customWidth="1"/>
    <col min="12546" max="12546" width="0.88671875" style="402" hidden="1" customWidth="1"/>
    <col min="12547" max="12562" width="2.44140625" style="402" hidden="1" customWidth="1"/>
    <col min="12563" max="12563" width="4" style="402" hidden="1" customWidth="1"/>
    <col min="12564" max="12583" width="2.44140625" style="402" hidden="1" customWidth="1"/>
    <col min="12584" max="12584" width="1.44140625" style="402" hidden="1" customWidth="1"/>
    <col min="12585" max="12800" width="2.44140625" style="402" hidden="1"/>
    <col min="12801" max="12801" width="1.44140625" style="402" hidden="1" customWidth="1"/>
    <col min="12802" max="12802" width="0.88671875" style="402" hidden="1" customWidth="1"/>
    <col min="12803" max="12818" width="2.44140625" style="402" hidden="1" customWidth="1"/>
    <col min="12819" max="12819" width="4" style="402" hidden="1" customWidth="1"/>
    <col min="12820" max="12839" width="2.44140625" style="402" hidden="1" customWidth="1"/>
    <col min="12840" max="12840" width="1.44140625" style="402" hidden="1" customWidth="1"/>
    <col min="12841" max="13056" width="2.44140625" style="402" hidden="1"/>
    <col min="13057" max="13057" width="1.44140625" style="402" hidden="1" customWidth="1"/>
    <col min="13058" max="13058" width="0.88671875" style="402" hidden="1" customWidth="1"/>
    <col min="13059" max="13074" width="2.44140625" style="402" hidden="1" customWidth="1"/>
    <col min="13075" max="13075" width="4" style="402" hidden="1" customWidth="1"/>
    <col min="13076" max="13095" width="2.44140625" style="402" hidden="1" customWidth="1"/>
    <col min="13096" max="13096" width="1.44140625" style="402" hidden="1" customWidth="1"/>
    <col min="13097" max="13312" width="2.44140625" style="402" hidden="1"/>
    <col min="13313" max="13313" width="1.44140625" style="402" hidden="1" customWidth="1"/>
    <col min="13314" max="13314" width="0.88671875" style="402" hidden="1" customWidth="1"/>
    <col min="13315" max="13330" width="2.44140625" style="402" hidden="1" customWidth="1"/>
    <col min="13331" max="13331" width="4" style="402" hidden="1" customWidth="1"/>
    <col min="13332" max="13351" width="2.44140625" style="402" hidden="1" customWidth="1"/>
    <col min="13352" max="13352" width="1.44140625" style="402" hidden="1" customWidth="1"/>
    <col min="13353" max="13568" width="2.44140625" style="402" hidden="1"/>
    <col min="13569" max="13569" width="1.44140625" style="402" hidden="1" customWidth="1"/>
    <col min="13570" max="13570" width="0.88671875" style="402" hidden="1" customWidth="1"/>
    <col min="13571" max="13586" width="2.44140625" style="402" hidden="1" customWidth="1"/>
    <col min="13587" max="13587" width="4" style="402" hidden="1" customWidth="1"/>
    <col min="13588" max="13607" width="2.44140625" style="402" hidden="1" customWidth="1"/>
    <col min="13608" max="13608" width="1.44140625" style="402" hidden="1" customWidth="1"/>
    <col min="13609" max="13824" width="2.44140625" style="402" hidden="1"/>
    <col min="13825" max="13825" width="1.44140625" style="402" hidden="1" customWidth="1"/>
    <col min="13826" max="13826" width="0.88671875" style="402" hidden="1" customWidth="1"/>
    <col min="13827" max="13842" width="2.44140625" style="402" hidden="1" customWidth="1"/>
    <col min="13843" max="13843" width="4" style="402" hidden="1" customWidth="1"/>
    <col min="13844" max="13863" width="2.44140625" style="402" hidden="1" customWidth="1"/>
    <col min="13864" max="13864" width="1.44140625" style="402" hidden="1" customWidth="1"/>
    <col min="13865" max="14080" width="2.44140625" style="402" hidden="1"/>
    <col min="14081" max="14081" width="1.44140625" style="402" hidden="1" customWidth="1"/>
    <col min="14082" max="14082" width="0.88671875" style="402" hidden="1" customWidth="1"/>
    <col min="14083" max="14098" width="2.44140625" style="402" hidden="1" customWidth="1"/>
    <col min="14099" max="14099" width="4" style="402" hidden="1" customWidth="1"/>
    <col min="14100" max="14119" width="2.44140625" style="402" hidden="1" customWidth="1"/>
    <col min="14120" max="14120" width="1.44140625" style="402" hidden="1" customWidth="1"/>
    <col min="14121" max="14336" width="2.44140625" style="402" hidden="1"/>
    <col min="14337" max="14337" width="1.44140625" style="402" hidden="1" customWidth="1"/>
    <col min="14338" max="14338" width="0.88671875" style="402" hidden="1" customWidth="1"/>
    <col min="14339" max="14354" width="2.44140625" style="402" hidden="1" customWidth="1"/>
    <col min="14355" max="14355" width="4" style="402" hidden="1" customWidth="1"/>
    <col min="14356" max="14375" width="2.44140625" style="402" hidden="1" customWidth="1"/>
    <col min="14376" max="14376" width="1.44140625" style="402" hidden="1" customWidth="1"/>
    <col min="14377" max="14592" width="2.44140625" style="402" hidden="1"/>
    <col min="14593" max="14593" width="1.44140625" style="402" hidden="1" customWidth="1"/>
    <col min="14594" max="14594" width="0.88671875" style="402" hidden="1" customWidth="1"/>
    <col min="14595" max="14610" width="2.44140625" style="402" hidden="1" customWidth="1"/>
    <col min="14611" max="14611" width="4" style="402" hidden="1" customWidth="1"/>
    <col min="14612" max="14631" width="2.44140625" style="402" hidden="1" customWidth="1"/>
    <col min="14632" max="14632" width="1.44140625" style="402" hidden="1" customWidth="1"/>
    <col min="14633" max="14848" width="2.44140625" style="402" hidden="1"/>
    <col min="14849" max="14849" width="1.44140625" style="402" hidden="1" customWidth="1"/>
    <col min="14850" max="14850" width="0.88671875" style="402" hidden="1" customWidth="1"/>
    <col min="14851" max="14866" width="2.44140625" style="402" hidden="1" customWidth="1"/>
    <col min="14867" max="14867" width="4" style="402" hidden="1" customWidth="1"/>
    <col min="14868" max="14887" width="2.44140625" style="402" hidden="1" customWidth="1"/>
    <col min="14888" max="14888" width="1.44140625" style="402" hidden="1" customWidth="1"/>
    <col min="14889" max="15104" width="2.44140625" style="402" hidden="1"/>
    <col min="15105" max="15105" width="1.44140625" style="402" hidden="1" customWidth="1"/>
    <col min="15106" max="15106" width="0.88671875" style="402" hidden="1" customWidth="1"/>
    <col min="15107" max="15122" width="2.44140625" style="402" hidden="1" customWidth="1"/>
    <col min="15123" max="15123" width="4" style="402" hidden="1" customWidth="1"/>
    <col min="15124" max="15143" width="2.44140625" style="402" hidden="1" customWidth="1"/>
    <col min="15144" max="15144" width="1.44140625" style="402" hidden="1" customWidth="1"/>
    <col min="15145" max="15360" width="2.44140625" style="402" hidden="1"/>
    <col min="15361" max="15361" width="1.44140625" style="402" hidden="1" customWidth="1"/>
    <col min="15362" max="15362" width="0.88671875" style="402" hidden="1" customWidth="1"/>
    <col min="15363" max="15378" width="2.44140625" style="402" hidden="1" customWidth="1"/>
    <col min="15379" max="15379" width="4" style="402" hidden="1" customWidth="1"/>
    <col min="15380" max="15399" width="2.44140625" style="402" hidden="1" customWidth="1"/>
    <col min="15400" max="15400" width="1.44140625" style="402" hidden="1" customWidth="1"/>
    <col min="15401" max="15616" width="2.44140625" style="402" hidden="1"/>
    <col min="15617" max="15617" width="1.44140625" style="402" hidden="1" customWidth="1"/>
    <col min="15618" max="15618" width="0.88671875" style="402" hidden="1" customWidth="1"/>
    <col min="15619" max="15634" width="2.44140625" style="402" hidden="1" customWidth="1"/>
    <col min="15635" max="15635" width="4" style="402" hidden="1" customWidth="1"/>
    <col min="15636" max="15655" width="2.44140625" style="402" hidden="1" customWidth="1"/>
    <col min="15656" max="15656" width="1.44140625" style="402" hidden="1" customWidth="1"/>
    <col min="15657" max="15872" width="2.44140625" style="402" hidden="1"/>
    <col min="15873" max="15873" width="1.44140625" style="402" hidden="1" customWidth="1"/>
    <col min="15874" max="15874" width="0.88671875" style="402" hidden="1" customWidth="1"/>
    <col min="15875" max="15890" width="2.44140625" style="402" hidden="1" customWidth="1"/>
    <col min="15891" max="15891" width="4" style="402" hidden="1" customWidth="1"/>
    <col min="15892" max="15911" width="2.44140625" style="402" hidden="1" customWidth="1"/>
    <col min="15912" max="15912" width="1.44140625" style="402" hidden="1" customWidth="1"/>
    <col min="15913" max="16128" width="2.44140625" style="402" hidden="1"/>
    <col min="16129" max="16129" width="1.44140625" style="402" hidden="1" customWidth="1"/>
    <col min="16130" max="16130" width="0.88671875" style="402" hidden="1" customWidth="1"/>
    <col min="16131" max="16146" width="2.44140625" style="402" hidden="1" customWidth="1"/>
    <col min="16147" max="16147" width="4" style="402" hidden="1" customWidth="1"/>
    <col min="16148" max="16167" width="2.44140625" style="402" hidden="1" customWidth="1"/>
    <col min="16168" max="16168" width="1.44140625" style="402" hidden="1" customWidth="1"/>
    <col min="16169" max="16384" width="2.44140625" style="402" hidden="1"/>
  </cols>
  <sheetData>
    <row r="1" spans="1:40" ht="12.9" customHeight="1">
      <c r="A1" s="2378" t="s">
        <v>1278</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60144196</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 customHeight="1">
      <c r="B12" s="2382" t="s">
        <v>496</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 customHeight="1">
      <c r="B13" s="435"/>
      <c r="C13" s="2384" t="s">
        <v>497</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 customHeight="1">
      <c r="B14" s="435"/>
      <c r="C14" s="2384" t="s">
        <v>498</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 customHeight="1">
      <c r="B15" s="435"/>
      <c r="C15" s="2384" t="s">
        <v>499</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 customHeight="1">
      <c r="B16" s="435"/>
      <c r="C16" s="2384" t="s">
        <v>804</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 customHeight="1">
      <c r="B17" s="435"/>
      <c r="C17" s="2384" t="s">
        <v>500</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 customHeight="1">
      <c r="A18"/>
      <c r="B18" s="1150"/>
      <c r="C18" s="1565" t="s">
        <v>958</v>
      </c>
      <c r="D18" s="1565"/>
      <c r="E18" s="1565"/>
      <c r="F18" s="1565"/>
      <c r="G18" s="1565"/>
      <c r="H18" s="1565"/>
      <c r="I18" s="1565"/>
      <c r="J18" s="1565"/>
      <c r="K18" s="1565"/>
      <c r="L18" s="1565"/>
      <c r="M18" s="1565"/>
      <c r="N18" s="1565"/>
      <c r="O18" s="1565"/>
      <c r="P18" s="1565"/>
      <c r="Q18" s="1565"/>
      <c r="R18" s="1565"/>
      <c r="S18" s="1566"/>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 customHeight="1">
      <c r="B19" s="1150"/>
      <c r="C19" s="1565" t="s">
        <v>958</v>
      </c>
      <c r="D19" s="1565"/>
      <c r="E19" s="1565"/>
      <c r="F19" s="1565"/>
      <c r="G19" s="1565"/>
      <c r="H19" s="1565"/>
      <c r="I19" s="1565"/>
      <c r="J19" s="1565"/>
      <c r="K19" s="1565"/>
      <c r="L19" s="1565"/>
      <c r="M19" s="1565"/>
      <c r="N19" s="1565"/>
      <c r="O19" s="1565"/>
      <c r="P19" s="1565"/>
      <c r="Q19" s="1565"/>
      <c r="R19" s="1565"/>
      <c r="S19" s="1566"/>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 customHeight="1">
      <c r="B20" s="2344" t="s">
        <v>501</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 customHeight="1">
      <c r="B21" s="2344" t="s">
        <v>1261</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 customHeight="1">
      <c r="B22" s="2344" t="s">
        <v>502</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44" t="s">
        <v>503</v>
      </c>
      <c r="C23" s="2345"/>
      <c r="D23" s="2345"/>
      <c r="E23" s="2345"/>
      <c r="F23" s="2345"/>
      <c r="G23" s="2345"/>
      <c r="H23" s="2345"/>
      <c r="I23" s="2345"/>
      <c r="J23" s="2345"/>
      <c r="K23" s="2345"/>
      <c r="L23" s="2345"/>
      <c r="M23" s="2345"/>
      <c r="N23" s="2345"/>
      <c r="O23" s="2345"/>
      <c r="P23" s="2345"/>
      <c r="Q23" s="2345"/>
      <c r="R23" s="2345"/>
      <c r="S23" s="2346"/>
      <c r="T23" s="2357">
        <f>T11+T22</f>
        <v>60144196</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 customHeight="1">
      <c r="B24" s="2344" t="s">
        <v>959</v>
      </c>
      <c r="C24" s="2345"/>
      <c r="D24" s="2345"/>
      <c r="E24" s="2345"/>
      <c r="F24" s="2345"/>
      <c r="G24" s="2345"/>
      <c r="H24" s="2345"/>
      <c r="I24" s="2345"/>
      <c r="J24" s="2345"/>
      <c r="K24" s="2345"/>
      <c r="L24" s="2345"/>
      <c r="M24" s="2345"/>
      <c r="N24" s="2345"/>
      <c r="O24" s="2345"/>
      <c r="P24" s="2345"/>
      <c r="Q24" s="2345"/>
      <c r="R24" s="2345"/>
      <c r="S24" s="2346"/>
      <c r="T24" s="2348">
        <f>Application!AJ1053</f>
        <v>196870295.20000002</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 customHeight="1">
      <c r="B25" s="2388" t="s">
        <v>1262</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4" t="s">
        <v>504</v>
      </c>
      <c r="C26" s="2345"/>
      <c r="D26" s="2345"/>
      <c r="E26" s="2345"/>
      <c r="F26" s="2345"/>
      <c r="G26" s="2345"/>
      <c r="H26" s="2345"/>
      <c r="I26" s="2345"/>
      <c r="J26" s="2345"/>
      <c r="K26" s="2345"/>
      <c r="L26" s="2345"/>
      <c r="M26" s="2345"/>
      <c r="N26" s="2345"/>
      <c r="O26" s="2345"/>
      <c r="P26" s="2345"/>
      <c r="Q26" s="2345"/>
      <c r="R26" s="2345"/>
      <c r="S26" s="2346"/>
      <c r="T26" s="2357">
        <f>T23*T25</f>
        <v>78187454.799999997</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57">
        <f>IF(ISERROR((T26*T27)),0,(T26*T27))</f>
        <v>78187454.799999997</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 customHeight="1">
      <c r="B29" s="2344" t="s">
        <v>522</v>
      </c>
      <c r="C29" s="2345"/>
      <c r="D29" s="2345"/>
      <c r="E29" s="2345"/>
      <c r="F29" s="2345"/>
      <c r="G29" s="2345"/>
      <c r="H29" s="2345"/>
      <c r="I29" s="2345"/>
      <c r="J29" s="2345"/>
      <c r="K29" s="2345"/>
      <c r="L29" s="2345"/>
      <c r="M29" s="2345"/>
      <c r="N29" s="2345"/>
      <c r="O29" s="2345"/>
      <c r="P29" s="2345"/>
      <c r="Q29" s="2345"/>
      <c r="R29" s="2345"/>
      <c r="S29" s="2346"/>
      <c r="T29" s="2348">
        <f>T28+Y28+AD28+AI28</f>
        <v>78187454.799999997</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 customHeight="1">
      <c r="B30" s="2361" t="s">
        <v>1264</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 customHeight="1">
      <c r="B31" s="2361" t="s">
        <v>1263</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59" t="s">
        <v>369</v>
      </c>
      <c r="AE35" s="2359"/>
      <c r="AF35" s="2359"/>
      <c r="AG35" s="2359"/>
      <c r="AH35" s="2359"/>
    </row>
    <row r="36" spans="1:76" ht="12.9" customHeight="1">
      <c r="B36" s="407"/>
      <c r="X36" s="412"/>
      <c r="Y36" s="2358"/>
      <c r="Z36" s="2358"/>
      <c r="AA36" s="2358"/>
      <c r="AB36" s="2358"/>
      <c r="AC36" s="2358"/>
      <c r="AD36" s="2359"/>
      <c r="AE36" s="2359"/>
      <c r="AF36" s="2359"/>
      <c r="AG36" s="2359"/>
      <c r="AH36" s="235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78187454.799999997</v>
      </c>
      <c r="Z38" s="2338"/>
      <c r="AA38" s="2338"/>
      <c r="AB38" s="2338"/>
      <c r="AC38" s="2338"/>
      <c r="AD38" s="2338">
        <f>IF(T24&gt;=(T23+Y23+AD23+AI23),AD28+AI28,0)</f>
        <v>0</v>
      </c>
      <c r="AE38" s="2338"/>
      <c r="AF38" s="2338"/>
      <c r="AG38" s="2338"/>
      <c r="AH38" s="2338"/>
    </row>
    <row r="39" spans="1:76" ht="12.9" customHeight="1">
      <c r="B39" s="2344" t="s">
        <v>1689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3127498</v>
      </c>
      <c r="Z40" s="2338"/>
      <c r="AA40" s="2338"/>
      <c r="AB40" s="2338"/>
      <c r="AC40" s="2338"/>
      <c r="AD40" s="2357">
        <f>ROUND(AD38*AD39,0)</f>
        <v>0</v>
      </c>
      <c r="AE40" s="2338"/>
      <c r="AF40" s="2338"/>
      <c r="AG40" s="2338"/>
      <c r="AH40" s="2338"/>
    </row>
    <row r="41" spans="1:76" ht="12.9"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3127498</v>
      </c>
      <c r="Z41" s="2356"/>
      <c r="AA41" s="2356"/>
      <c r="AB41" s="2356"/>
      <c r="AC41" s="2356"/>
      <c r="AD41" s="2356"/>
      <c r="AE41" s="2356"/>
      <c r="AF41" s="2356"/>
      <c r="AG41" s="2356"/>
      <c r="AH41" s="2357"/>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5" t="s">
        <v>1274</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 customHeight="1" thickTop="1"/>
    <row r="46" spans="1:76" ht="12.9" customHeight="1">
      <c r="A46" s="404" t="s">
        <v>585</v>
      </c>
      <c r="C46" s="404" t="s">
        <v>282</v>
      </c>
    </row>
    <row r="47" spans="1:76" ht="12.9" customHeight="1">
      <c r="D47" s="404" t="s">
        <v>283</v>
      </c>
      <c r="AB47" s="2352">
        <f>'Sources and Uses Budget'!B105-MAX(IF('Sources and Uses Budget'!B15="",0,'Sources and Uses Budget'!B15),IF(Application!AG394="",0,Application!AG394))</f>
        <v>68435561</v>
      </c>
      <c r="AC47" s="2353"/>
      <c r="AD47" s="2353"/>
      <c r="AE47" s="2353"/>
      <c r="AF47" s="2354"/>
    </row>
    <row r="48" spans="1:76" ht="12.9" customHeight="1">
      <c r="D48" s="404" t="s">
        <v>21</v>
      </c>
      <c r="AB48" s="2352">
        <f>Application!AO639-MAX(IF('Sources and Uses Budget'!B15="",0,'Sources and Uses Budget'!B15),IF(Application!AG394="",0,Application!AG394))</f>
        <v>42824515</v>
      </c>
      <c r="AC48" s="2353"/>
      <c r="AD48" s="2353"/>
      <c r="AE48" s="2353"/>
      <c r="AF48" s="2354"/>
    </row>
    <row r="49" spans="1:76" ht="12.9" customHeight="1">
      <c r="D49" s="404" t="s">
        <v>91</v>
      </c>
      <c r="AB49" s="2352">
        <f>AB47-AB48</f>
        <v>25611046</v>
      </c>
      <c r="AC49" s="2353"/>
      <c r="AD49" s="2353"/>
      <c r="AE49" s="2353"/>
      <c r="AF49" s="2354"/>
    </row>
    <row r="50" spans="1:76" ht="12.9" customHeight="1">
      <c r="D50" s="404" t="s">
        <v>680</v>
      </c>
      <c r="AA50" s="415"/>
      <c r="AB50" s="2340">
        <f>'[1]Data Port'!$G$401</f>
        <v>0.82250000000000001</v>
      </c>
      <c r="AC50" s="2341"/>
      <c r="AD50" s="2341"/>
      <c r="AE50" s="2341"/>
      <c r="AF50" s="2342"/>
    </row>
    <row r="51" spans="1:76" s="417" customFormat="1" ht="12.9" customHeight="1">
      <c r="A51" s="402"/>
      <c r="B51" s="402"/>
      <c r="C51" s="402"/>
      <c r="D51" s="402"/>
      <c r="E51" s="2351" t="s">
        <v>2608</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2">
        <f>ROUND(IF(ISERROR((AB49/AB50)),0,(AB49/AB50)),0)</f>
        <v>31138050</v>
      </c>
      <c r="AC54" s="2353"/>
      <c r="AD54" s="2353"/>
      <c r="AE54" s="2353"/>
      <c r="AF54" s="2354"/>
    </row>
    <row r="55" spans="1:76" ht="12.9" customHeight="1">
      <c r="D55" s="404" t="s">
        <v>333</v>
      </c>
      <c r="AB55" s="2352">
        <f>(AB54/10)</f>
        <v>3113805</v>
      </c>
      <c r="AC55" s="2353"/>
      <c r="AD55" s="2353"/>
      <c r="AE55" s="2353"/>
      <c r="AF55" s="2354"/>
    </row>
    <row r="56" spans="1:76" ht="12.9" customHeight="1">
      <c r="D56" s="404" t="s">
        <v>755</v>
      </c>
      <c r="AB56" s="2352">
        <f>ROUND((IF((Y41&lt;AB55),Y41,AB55)),0)</f>
        <v>3113805</v>
      </c>
      <c r="AC56" s="2353"/>
      <c r="AD56" s="2353"/>
      <c r="AE56" s="2353"/>
      <c r="AF56" s="2354"/>
    </row>
    <row r="57" spans="1:76" ht="12.9" customHeight="1">
      <c r="D57" s="404" t="s">
        <v>754</v>
      </c>
      <c r="AB57" s="2352">
        <f>ROUND((10*AB56*AB50),0)</f>
        <v>25611046</v>
      </c>
      <c r="AC57" s="2353"/>
      <c r="AD57" s="2353"/>
      <c r="AE57" s="2353"/>
      <c r="AF57" s="2354"/>
    </row>
    <row r="58" spans="1:76" ht="12.9" customHeight="1">
      <c r="D58" s="404"/>
      <c r="AB58" s="423"/>
      <c r="AC58" s="423"/>
      <c r="AD58" s="423"/>
      <c r="AE58" s="423"/>
      <c r="AF58" s="423"/>
    </row>
    <row r="59" spans="1:76" ht="12.9" customHeight="1">
      <c r="D59" s="404" t="s">
        <v>753</v>
      </c>
      <c r="AB59" s="2336">
        <f>AB49-AB57</f>
        <v>0</v>
      </c>
      <c r="AC59" s="2336"/>
      <c r="AD59" s="2336"/>
      <c r="AE59" s="2336"/>
      <c r="AF59" s="2336"/>
    </row>
    <row r="60" spans="1:76" ht="12.9" customHeight="1">
      <c r="D60" s="404"/>
      <c r="AB60" s="423"/>
      <c r="AC60" s="423"/>
      <c r="AD60" s="423"/>
      <c r="AE60" s="423"/>
      <c r="AF60" s="423"/>
    </row>
    <row r="61" spans="1:76" s="204" customFormat="1" ht="12.9"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 customHeight="1" thickTop="1"/>
    <row r="63" spans="1:76" ht="12.9" customHeight="1">
      <c r="A63" s="404" t="s">
        <v>588</v>
      </c>
      <c r="C63" s="205" t="s">
        <v>1246</v>
      </c>
      <c r="Y63" s="2347" t="s">
        <v>982</v>
      </c>
      <c r="Z63" s="2347"/>
      <c r="AA63" s="2347"/>
      <c r="AB63" s="2347"/>
      <c r="AC63" s="2347"/>
      <c r="AD63" s="2347" t="s">
        <v>369</v>
      </c>
      <c r="AE63" s="2347"/>
      <c r="AF63" s="2347"/>
      <c r="AG63" s="2347"/>
      <c r="AH63" s="2347"/>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2.9"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System'!B13="Yes"),0.13,0))</f>
        <v>0</v>
      </c>
      <c r="AE67" s="2337"/>
      <c r="AF67" s="2337"/>
      <c r="AG67" s="2337"/>
      <c r="AH67" s="2337"/>
    </row>
    <row r="68" spans="1:36" ht="12.9" customHeight="1">
      <c r="C68" s="404"/>
      <c r="D68" s="205" t="s">
        <v>2221</v>
      </c>
      <c r="Y68" s="2338">
        <f>ROUND(Y64*Y67,0)</f>
        <v>0</v>
      </c>
      <c r="Z68" s="2339"/>
      <c r="AA68" s="2339"/>
      <c r="AB68" s="2339"/>
      <c r="AC68" s="2339"/>
      <c r="AD68" s="2338">
        <f>ROUND(AD64*AD67,0)</f>
        <v>0</v>
      </c>
      <c r="AE68" s="2339"/>
      <c r="AF68" s="2339"/>
      <c r="AG68" s="2339"/>
      <c r="AH68" s="2339"/>
    </row>
    <row r="69" spans="1:36" ht="12.9" customHeight="1">
      <c r="C69" s="404"/>
      <c r="D69" s="205" t="s">
        <v>2222</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 customHeight="1">
      <c r="C70" s="404"/>
      <c r="E70" s="404"/>
      <c r="AB70" s="422"/>
      <c r="AC70" s="422"/>
      <c r="AD70" s="422"/>
      <c r="AE70" s="422"/>
      <c r="AF70" s="422"/>
    </row>
    <row r="71" spans="1:36" ht="12.9" customHeight="1">
      <c r="A71" s="404" t="s">
        <v>589</v>
      </c>
      <c r="C71" s="205" t="s">
        <v>284</v>
      </c>
    </row>
    <row r="72" spans="1:36" ht="12.9" customHeight="1">
      <c r="A72" s="404"/>
      <c r="C72" s="404"/>
      <c r="D72" s="205" t="s">
        <v>1248</v>
      </c>
      <c r="AB72" s="2340"/>
      <c r="AC72" s="2341"/>
      <c r="AD72" s="2341"/>
      <c r="AE72" s="2341"/>
      <c r="AF72" s="2342"/>
    </row>
    <row r="73" spans="1:36" ht="12.9" customHeight="1">
      <c r="A73" s="404"/>
      <c r="C73" s="404"/>
      <c r="D73" s="404"/>
      <c r="E73" s="2343" t="s">
        <v>1249</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1250</v>
      </c>
      <c r="AB77" s="2331">
        <f>ROUND(IF(ISERROR((AB59/AB72)),0,(AB59/AB72)),0)</f>
        <v>0</v>
      </c>
      <c r="AC77" s="2331"/>
      <c r="AD77" s="2331"/>
      <c r="AE77" s="2331"/>
      <c r="AF77" s="2331"/>
    </row>
    <row r="78" spans="1:36" ht="12.9" customHeight="1">
      <c r="C78" s="404"/>
      <c r="D78" s="205" t="s">
        <v>1251</v>
      </c>
      <c r="AB78" s="2332">
        <f>ROUNDUP(MIN(Y69,AB77),0)</f>
        <v>0</v>
      </c>
      <c r="AC78" s="2333"/>
      <c r="AD78" s="2333"/>
      <c r="AE78" s="2333"/>
      <c r="AF78" s="2334"/>
    </row>
    <row r="79" spans="1:36" ht="12.9" customHeight="1">
      <c r="C79" s="404"/>
      <c r="D79" s="205" t="s">
        <v>1252</v>
      </c>
      <c r="AB79" s="2335">
        <f>AB78*AB72</f>
        <v>0</v>
      </c>
      <c r="AC79" s="2335"/>
      <c r="AD79" s="2335"/>
      <c r="AE79" s="2335"/>
      <c r="AF79" s="2335"/>
    </row>
    <row r="80" spans="1:36" ht="12.9" customHeight="1">
      <c r="C80" s="404"/>
      <c r="D80" s="404"/>
      <c r="AB80" s="425"/>
      <c r="AC80" s="425"/>
      <c r="AD80" s="425"/>
      <c r="AE80" s="425"/>
      <c r="AF80" s="425"/>
    </row>
    <row r="81" spans="1:78" ht="12.9" customHeight="1">
      <c r="D81" s="404" t="s">
        <v>753</v>
      </c>
      <c r="AB81" s="2336">
        <f>AB49-(AB57+AB79)</f>
        <v>0</v>
      </c>
      <c r="AC81" s="2336"/>
      <c r="AD81" s="2336"/>
      <c r="AE81" s="2336"/>
      <c r="AF81" s="2336"/>
    </row>
    <row r="82" spans="1:78" ht="12.9" customHeight="1">
      <c r="F82" s="522"/>
      <c r="J82" s="522" t="str">
        <f>IF(AB81&gt;0,"FUNDING GAP MUST NOT EXCEED ZERO","")</f>
        <v/>
      </c>
    </row>
    <row r="83" spans="1:78" ht="12.9" customHeight="1">
      <c r="D83" s="523"/>
    </row>
    <row r="84" spans="1:78" ht="12.9"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 customHeight="1" thickTop="1"/>
    <row r="86" spans="1:78" ht="12.9" customHeight="1">
      <c r="A86" s="404"/>
      <c r="C86" s="205"/>
    </row>
    <row r="87" spans="1:78" ht="12.9" customHeight="1">
      <c r="D87" s="205"/>
      <c r="AB87" s="2387"/>
      <c r="AC87" s="2387"/>
      <c r="AD87" s="2387"/>
      <c r="AE87" s="2387"/>
      <c r="AF87" s="2387"/>
    </row>
    <row r="88" spans="1:78" ht="12.9"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5" workbookViewId="0">
      <selection activeCell="O128" sqref="O1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4" customWidth="1"/>
    <col min="41" max="41" width="5.44140625" style="30"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429" t="s">
        <v>1298</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1303</v>
      </c>
      <c r="AF7" s="2410"/>
      <c r="AG7" s="2410"/>
      <c r="AH7" s="2410"/>
      <c r="AI7" s="2410"/>
      <c r="AJ7" s="2410"/>
      <c r="AK7" s="2410"/>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590</v>
      </c>
      <c r="C13" s="2400"/>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544</v>
      </c>
      <c r="C16" s="2400"/>
      <c r="D16" s="547"/>
      <c r="E16" s="2411" t="s">
        <v>1305</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590</v>
      </c>
      <c r="C22" s="2400"/>
      <c r="D22" s="547"/>
      <c r="E22" s="2436" t="s">
        <v>1308</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590</v>
      </c>
      <c r="C25" s="2400"/>
      <c r="D25" s="547"/>
      <c r="E25" s="2401" t="s">
        <v>2031</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590</v>
      </c>
      <c r="C28" s="2400"/>
      <c r="D28" s="547"/>
      <c r="E28" s="2424" t="s">
        <v>2245</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400" t="s">
        <v>590</v>
      </c>
      <c r="C33" s="2400"/>
      <c r="D33" s="547"/>
      <c r="E33" s="2436" t="s">
        <v>2247</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590</v>
      </c>
      <c r="C36" s="2400"/>
      <c r="D36" s="547"/>
      <c r="E36" s="2401" t="s">
        <v>2248</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590</v>
      </c>
      <c r="C40" s="2400"/>
      <c r="D40" s="547"/>
      <c r="E40" s="2401" t="s">
        <v>2246</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590</v>
      </c>
      <c r="C45" s="2400"/>
      <c r="D45" s="1142"/>
      <c r="E45" s="2401" t="s">
        <v>2006</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590</v>
      </c>
      <c r="C52" s="2400"/>
      <c r="D52" s="540"/>
      <c r="E52" s="2401" t="s">
        <v>2011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590</v>
      </c>
      <c r="C56" s="2400"/>
      <c r="D56" s="540"/>
      <c r="E56" s="2421" t="s">
        <v>2012</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590</v>
      </c>
      <c r="C58" s="2400"/>
      <c r="D58" s="540"/>
      <c r="E58" s="2401" t="s">
        <v>2013</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1312</v>
      </c>
      <c r="AF65" s="2410"/>
      <c r="AG65" s="2410"/>
      <c r="AH65" s="2410"/>
      <c r="AI65" s="2410"/>
      <c r="AJ65" s="2410"/>
      <c r="AK65" s="2410"/>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590</v>
      </c>
      <c r="C68" s="2400"/>
      <c r="D68" s="547" t="s">
        <v>1313</v>
      </c>
      <c r="E68" s="2411" t="s">
        <v>2014</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1314</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544</v>
      </c>
      <c r="C74" s="2400"/>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544</v>
      </c>
      <c r="F75" s="2400"/>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590</v>
      </c>
      <c r="F76" s="239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590</v>
      </c>
      <c r="F77" s="239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590</v>
      </c>
      <c r="F79" s="2400"/>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590</v>
      </c>
      <c r="C81" s="2400"/>
      <c r="D81" s="547" t="s">
        <v>1318</v>
      </c>
      <c r="E81" s="2401" t="s">
        <v>1738</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1303</v>
      </c>
      <c r="AF87" s="2410"/>
      <c r="AG87" s="2410"/>
      <c r="AH87" s="2410"/>
      <c r="AI87" s="2410"/>
      <c r="AJ87" s="2410"/>
      <c r="AK87" s="2410"/>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590</v>
      </c>
      <c r="C90" s="2400"/>
      <c r="D90" s="547" t="s">
        <v>1313</v>
      </c>
      <c r="E90" s="2411" t="s">
        <v>1323</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0.56666666666666665</v>
      </c>
      <c r="F93" s="2395"/>
      <c r="G93" s="2395"/>
      <c r="H93" s="2395"/>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2.9999999999999916E-2</v>
      </c>
      <c r="F94" s="2397"/>
      <c r="G94" s="2397"/>
      <c r="H94" s="2397"/>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5.9999999999999831</v>
      </c>
      <c r="F95" s="2428"/>
      <c r="G95" s="2428"/>
      <c r="H95" s="2428"/>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544</v>
      </c>
      <c r="C98" s="2400"/>
      <c r="D98" s="547" t="s">
        <v>1315</v>
      </c>
      <c r="E98" s="2411" t="s">
        <v>1723</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0.56666666666666665</v>
      </c>
      <c r="F103" s="2395"/>
      <c r="G103" s="2395"/>
      <c r="H103" s="2395"/>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0.10441767068273092</v>
      </c>
      <c r="F104" s="2395"/>
      <c r="G104" s="2395"/>
      <c r="H104" s="2395"/>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0.10441767068273092</v>
      </c>
      <c r="F105" s="2395"/>
      <c r="G105" s="2395"/>
      <c r="H105" s="2395"/>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1312</v>
      </c>
      <c r="AF112" s="2410"/>
      <c r="AG112" s="2410"/>
      <c r="AH112" s="2410"/>
      <c r="AI112" s="2410"/>
      <c r="AJ112" s="2410"/>
      <c r="AK112" s="2410"/>
      <c r="AL112" s="540"/>
      <c r="AM112" s="540"/>
      <c r="AN112" s="535"/>
      <c r="AO112" s="536" t="str">
        <f>Application!B718</f>
        <v>SRO/Studio</v>
      </c>
      <c r="AQ112" s="536">
        <f>Application!O718</f>
        <v>738</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1018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1297</v>
      </c>
    </row>
    <row r="115" spans="1:52" s="536" customFormat="1" ht="12.75" customHeight="1">
      <c r="A115" s="540"/>
      <c r="B115" s="2400" t="s">
        <v>544</v>
      </c>
      <c r="C115" s="2400"/>
      <c r="D115" s="547" t="s">
        <v>1313</v>
      </c>
      <c r="E115" s="2411" t="s">
        <v>1855</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1357</v>
      </c>
      <c r="AU115" s="536" t="s">
        <v>1838</v>
      </c>
      <c r="AV115" s="595" t="s">
        <v>1839</v>
      </c>
      <c r="AW115" s="536" t="s">
        <v>1840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SRO/Studio</v>
      </c>
      <c r="AQ116" s="536">
        <f>Application!O722</f>
        <v>1457</v>
      </c>
      <c r="AU116" s="856" t="str">
        <f>E124</f>
        <v>Studio/SRO</v>
      </c>
      <c r="AV116" s="536">
        <f t="array" ref="AV116">SUM(IF(Application!B718:F752="SRO/Studio",Application!G718:J752))</f>
        <v>97</v>
      </c>
      <c r="AW116" s="1011">
        <f>AV116/AV122</f>
        <v>0.38955823293172692</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SRO/Studio</v>
      </c>
      <c r="AQ117" s="536">
        <f>Application!O723</f>
        <v>1457</v>
      </c>
      <c r="AU117" s="856" t="str">
        <f>J124</f>
        <v>1-bedroom</v>
      </c>
      <c r="AV117" s="536">
        <f t="array" ref="AV117">SUM(IF(Application!B718:F752="1 Bedroom",Application!G718:J752))</f>
        <v>131</v>
      </c>
      <c r="AW117" s="1011">
        <f>AV117/AV122</f>
        <v>0.52610441767068272</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777</v>
      </c>
      <c r="AU118" s="856" t="str">
        <f>O124</f>
        <v>2-bedroom</v>
      </c>
      <c r="AV118" s="536">
        <f t="array" ref="AV118">SUM(IF(Application!B718:F752="2 Bedrooms",Application!G718:J752))</f>
        <v>21</v>
      </c>
      <c r="AW118" s="1011">
        <f>AV118/AV122</f>
        <v>8.4337349397590355E-2</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1077</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Application!O726</f>
        <v>1377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Application!O727</f>
        <v>1412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1 Bedroom</v>
      </c>
      <c r="AQ122" s="536">
        <f>Application!O728</f>
        <v>1644</v>
      </c>
      <c r="AV122" s="536">
        <f>SUM(AV116:AV121)</f>
        <v>249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1644</v>
      </c>
    </row>
    <row r="124" spans="1:52" s="536" customFormat="1" ht="12.75" customHeight="1">
      <c r="A124" s="540"/>
      <c r="B124" s="539"/>
      <c r="C124" s="540"/>
      <c r="D124" s="540"/>
      <c r="E124" s="2394" t="s">
        <v>1586</v>
      </c>
      <c r="F124" s="2395"/>
      <c r="G124" s="2395"/>
      <c r="H124" s="2395"/>
      <c r="I124" s="577"/>
      <c r="J124" s="2395" t="s">
        <v>1629</v>
      </c>
      <c r="K124" s="2395"/>
      <c r="L124" s="2395"/>
      <c r="M124" s="2395"/>
      <c r="N124" s="577"/>
      <c r="O124" s="2395" t="s">
        <v>1630</v>
      </c>
      <c r="P124" s="2395"/>
      <c r="Q124" s="2395"/>
      <c r="R124" s="2395"/>
      <c r="S124" s="577"/>
      <c r="T124" s="2395" t="s">
        <v>1332</v>
      </c>
      <c r="U124" s="2395"/>
      <c r="V124" s="2395"/>
      <c r="W124" s="2395"/>
      <c r="X124" s="577"/>
      <c r="Y124" s="2395" t="s">
        <v>1631</v>
      </c>
      <c r="Z124" s="2395"/>
      <c r="AA124" s="2395"/>
      <c r="AB124" s="2395"/>
      <c r="AC124" s="577"/>
      <c r="AD124" s="2395" t="s">
        <v>1632</v>
      </c>
      <c r="AE124" s="2395"/>
      <c r="AF124" s="2395"/>
      <c r="AG124" s="2395"/>
      <c r="AH124" s="577"/>
      <c r="AI124" s="577"/>
      <c r="AJ124" s="579"/>
      <c r="AK124" s="540"/>
      <c r="AL124" s="540"/>
      <c r="AM124" s="540"/>
      <c r="AN124" s="535"/>
      <c r="AO124" s="536" t="str">
        <f>Application!B730</f>
        <v>2 Bedrooms</v>
      </c>
      <c r="AQ124" s="536">
        <f>Application!O730</f>
        <v>909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1269</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1628</v>
      </c>
    </row>
    <row r="127" spans="1:52" s="536" customFormat="1" ht="12.75" customHeight="1">
      <c r="A127" s="540"/>
      <c r="B127" s="539"/>
      <c r="C127" s="540"/>
      <c r="D127" s="540"/>
      <c r="E127" s="2454">
        <v>2193</v>
      </c>
      <c r="F127" s="2455"/>
      <c r="G127" s="2455"/>
      <c r="H127" s="2455"/>
      <c r="I127" s="864"/>
      <c r="J127" s="2455">
        <v>2502</v>
      </c>
      <c r="K127" s="2455"/>
      <c r="L127" s="2455"/>
      <c r="M127" s="2455"/>
      <c r="N127" s="864"/>
      <c r="O127" s="2455">
        <v>3597</v>
      </c>
      <c r="P127" s="2455"/>
      <c r="Q127" s="2455"/>
      <c r="R127" s="2455"/>
      <c r="S127" s="864"/>
      <c r="T127" s="2455"/>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t="str">
        <f>Application!B733</f>
        <v>2 Bedrooms</v>
      </c>
      <c r="AQ127" s="536">
        <f>Application!O733</f>
        <v>1988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2348</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2707</v>
      </c>
      <c r="AU129" s="1009"/>
      <c r="AV129" s="1009"/>
      <c r="AW129" s="1009"/>
      <c r="AX129" s="1009"/>
      <c r="AY129" s="1009"/>
      <c r="AZ129" s="1009"/>
    </row>
    <row r="130" spans="1:52" s="536" customFormat="1" ht="12.75" customHeight="1">
      <c r="A130" s="540"/>
      <c r="B130" s="539"/>
      <c r="C130" s="540"/>
      <c r="D130" s="540"/>
      <c r="E130" s="2447">
        <f>Application!DX670</f>
        <v>1175</v>
      </c>
      <c r="F130" s="2448"/>
      <c r="G130" s="2448"/>
      <c r="H130" s="2448"/>
      <c r="I130" s="864"/>
      <c r="J130" s="2448">
        <f>Application!EC670</f>
        <v>1412</v>
      </c>
      <c r="K130" s="2448"/>
      <c r="L130" s="2448"/>
      <c r="M130" s="2448"/>
      <c r="N130" s="864"/>
      <c r="O130" s="2448">
        <f>Application!EH670</f>
        <v>2348</v>
      </c>
      <c r="P130" s="2448"/>
      <c r="Q130" s="2448"/>
      <c r="R130" s="2448"/>
      <c r="S130" s="868"/>
      <c r="T130" s="2448">
        <f>Application!EM670</f>
        <v>0</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t="str">
        <f>Application!B736</f>
        <v>3 Bedrooms</v>
      </c>
      <c r="AQ130" s="536">
        <f>Application!O736</f>
        <v>265</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265</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265</v>
      </c>
      <c r="AU132" s="1009"/>
      <c r="AV132" s="1009"/>
      <c r="AW132" s="1010"/>
      <c r="AX132" s="1010"/>
      <c r="AY132" s="1009"/>
      <c r="AZ132" s="1009"/>
    </row>
    <row r="133" spans="1:52" s="536" customFormat="1" ht="12.75" customHeight="1">
      <c r="A133" s="540"/>
      <c r="B133" s="539"/>
      <c r="C133" s="540"/>
      <c r="D133" s="540"/>
      <c r="E133" s="2646">
        <f>(E127-E130)/E127</f>
        <v>0.4642042863657091</v>
      </c>
      <c r="F133" s="2397"/>
      <c r="G133" s="2397"/>
      <c r="H133" s="2647"/>
      <c r="I133" s="577"/>
      <c r="J133" s="2646">
        <f>(J127-J130)/J127</f>
        <v>0.43565147881694644</v>
      </c>
      <c r="K133" s="2397"/>
      <c r="L133" s="2397"/>
      <c r="M133" s="2647"/>
      <c r="N133" s="577"/>
      <c r="O133" s="2646">
        <f>(O127-O130)/O127</f>
        <v>0.34723380594940229</v>
      </c>
      <c r="P133" s="2397"/>
      <c r="Q133" s="2397"/>
      <c r="R133" s="2647"/>
      <c r="S133" s="577"/>
      <c r="T133" s="2646" t="e">
        <f>(T127-T130)/T127</f>
        <v>#DIV/0!</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t="str">
        <f>Application!B739</f>
        <v>3 Bedrooms</v>
      </c>
      <c r="AQ133" s="536">
        <f>Application!O739</f>
        <v>265</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265</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265</v>
      </c>
      <c r="AU135" s="1010"/>
      <c r="AV135" s="1009"/>
      <c r="AW135" s="1010"/>
      <c r="AX135" s="1010"/>
      <c r="AY135" s="1009"/>
      <c r="AZ135" s="1009"/>
    </row>
    <row r="136" spans="1:52" s="536" customFormat="1" ht="12.75" customHeight="1">
      <c r="A136" s="540"/>
      <c r="B136" s="539"/>
      <c r="C136" s="540"/>
      <c r="D136" s="540"/>
      <c r="E136" s="2449">
        <f>IF(((E133-0.1)*AW116)&gt;0,((E133-0.1)*AW116),0)</f>
        <v>0.1418787782227863</v>
      </c>
      <c r="F136" s="2450"/>
      <c r="G136" s="2450"/>
      <c r="H136" s="2451"/>
      <c r="I136" s="577"/>
      <c r="J136" s="2449">
        <f>IF(((J133-0.1)*AW117)&gt;0,((J133-0.1)*AW117),0)</f>
        <v>0.17658772580329313</v>
      </c>
      <c r="K136" s="2450"/>
      <c r="L136" s="2450"/>
      <c r="M136" s="2451"/>
      <c r="N136" s="577"/>
      <c r="O136" s="2449">
        <f>IF(((O133-0.1)*AW118)&gt;0,((O133-0.1)*AW118),0)</f>
        <v>2.0851043875250792E-2</v>
      </c>
      <c r="P136" s="2450"/>
      <c r="Q136" s="2450"/>
      <c r="R136" s="2451"/>
      <c r="S136" s="577"/>
      <c r="T136" s="2449" t="e">
        <f>IF(((T133-0.1)*AW119)&gt;0,((T133-0.1)*AW119),0)</f>
        <v>#DIV/0!</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0.33</v>
      </c>
      <c r="F138" s="2397"/>
      <c r="G138" s="2397"/>
      <c r="H138" s="2647"/>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10" t="s">
        <v>1312</v>
      </c>
      <c r="AF146" s="2410"/>
      <c r="AG146" s="2410"/>
      <c r="AH146" s="2410"/>
      <c r="AI146" s="2410"/>
      <c r="AJ146" s="2410"/>
      <c r="AK146" s="2410"/>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1336</v>
      </c>
      <c r="AG148" s="2445"/>
      <c r="AH148" s="2445"/>
      <c r="AI148" s="2445"/>
      <c r="AJ148" s="2445"/>
      <c r="AK148" s="2445"/>
      <c r="AL148" s="244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tr">
        <f>'[1]Data Port'!$G$99</f>
        <v>Community Housing Works</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2" t="s">
        <v>1339</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1339</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473" t="s">
        <v>590</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2" t="s">
        <v>1341</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2472</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2473</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2471</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590</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1350</v>
      </c>
      <c r="AG168" s="2445"/>
      <c r="AH168" s="2445"/>
      <c r="AI168" s="2445"/>
      <c r="AJ168" s="2445"/>
      <c r="AK168" s="2445"/>
      <c r="AL168" s="244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1348</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590</v>
      </c>
      <c r="AG172" s="2473"/>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472" t="s">
        <v>1341</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4" t="str">
        <f>Application!AA335</f>
        <v>FPI Management</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1312</v>
      </c>
      <c r="AF186" s="2410"/>
      <c r="AG186" s="2410"/>
      <c r="AH186" s="2410"/>
      <c r="AI186" s="2410"/>
      <c r="AJ186" s="2410"/>
      <c r="AK186" s="2410"/>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70" t="str">
        <f>'[1]Data Port'!$G$51</f>
        <v xml:space="preserve">A project scoring maximum New Construction Density and Local Incentives points under Section 5230(c) </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1361</v>
      </c>
      <c r="AG188" s="2445"/>
      <c r="AH188" s="2445"/>
      <c r="AI188" s="2445"/>
      <c r="AJ188" s="2445"/>
      <c r="AK188" s="2445"/>
      <c r="AL188" s="2445"/>
      <c r="AN188" s="597"/>
      <c r="AP188" s="550" t="s">
        <v>1041</v>
      </c>
      <c r="AQ188" s="550">
        <v>10</v>
      </c>
    </row>
    <row r="189" spans="1:73" s="550" customFormat="1" ht="12.75" customHeight="1">
      <c r="A189" s="536"/>
      <c r="B189" s="2471" t="s">
        <v>1724</v>
      </c>
      <c r="C189" s="2471"/>
      <c r="D189" s="2471"/>
      <c r="E189" s="2471"/>
      <c r="F189" s="2471"/>
      <c r="G189" s="2471"/>
      <c r="H189" s="2471"/>
      <c r="I189" s="2471"/>
      <c r="J189" s="2471"/>
      <c r="K189" s="2471"/>
      <c r="L189" s="2471"/>
      <c r="M189" s="2471"/>
      <c r="N189" s="2471"/>
      <c r="O189" s="2471"/>
      <c r="P189" s="2471"/>
      <c r="Q189" s="2471"/>
      <c r="R189" s="2471"/>
      <c r="S189" s="2471"/>
      <c r="T189" s="2446" t="s">
        <v>590</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80">
        <f>IF(AK84&gt;0,VLOOKUP($B$188,AP185:AQ191,2,FALSE),0)</f>
        <v>10</v>
      </c>
      <c r="AL191" s="2481"/>
      <c r="AM191" s="2482"/>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1370</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tr">
        <f>'[1]Data Port'!$G$370</f>
        <v>Keybank National Bank (TE Recyled bonds)</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f>'[1]Data Port'!$G$378</f>
        <v>6131826</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1625</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1588</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2">
        <f>SUM(AD199:AJ209)-AD210</f>
        <v>6131826</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1605</v>
      </c>
      <c r="J222" s="2461"/>
      <c r="K222" s="2461"/>
      <c r="L222" s="536"/>
      <c r="M222" s="536"/>
      <c r="N222" s="536"/>
      <c r="O222" s="536"/>
      <c r="P222" s="536"/>
      <c r="Q222" s="536"/>
      <c r="R222" s="536"/>
      <c r="S222" s="536"/>
      <c r="T222" s="2649" t="s">
        <v>1599</v>
      </c>
      <c r="U222" s="2649"/>
      <c r="V222" s="2649"/>
      <c r="W222" s="2649"/>
      <c r="X222" s="2649"/>
      <c r="Y222" s="2649"/>
      <c r="Z222" s="849"/>
      <c r="AA222" s="489"/>
      <c r="AB222" s="2456" t="s">
        <v>1600</v>
      </c>
      <c r="AC222" s="2456"/>
      <c r="AD222" s="2456"/>
      <c r="AE222" s="2456"/>
      <c r="AF222" s="2456"/>
      <c r="AG222" s="2456"/>
      <c r="AH222" s="827"/>
      <c r="AI222" s="827"/>
      <c r="AJ222" s="827"/>
      <c r="AK222" s="610"/>
    </row>
    <row r="223" spans="1:37">
      <c r="A223" s="605"/>
      <c r="B223" s="2459" t="s">
        <v>1585</v>
      </c>
      <c r="C223" s="2459"/>
      <c r="D223" s="2459"/>
      <c r="E223" s="2459"/>
      <c r="F223" s="2459"/>
      <c r="G223" s="2459"/>
      <c r="I223" s="2460" t="s">
        <v>1606</v>
      </c>
      <c r="J223" s="2460"/>
      <c r="K223" s="2460"/>
      <c r="L223" s="1008"/>
      <c r="N223" s="2466" t="s">
        <v>1601</v>
      </c>
      <c r="O223" s="2466"/>
      <c r="P223" s="2466"/>
      <c r="Q223" s="2466"/>
      <c r="R223" s="2466"/>
      <c r="T223" s="2466" t="s">
        <v>1602</v>
      </c>
      <c r="U223" s="2466"/>
      <c r="V223" s="2466"/>
      <c r="W223" s="2466"/>
      <c r="X223" s="2466"/>
      <c r="Y223" s="2466"/>
      <c r="Z223" s="850"/>
      <c r="AA223" s="489"/>
      <c r="AB223" s="2603" t="s">
        <v>1603</v>
      </c>
      <c r="AC223" s="2603"/>
      <c r="AD223" s="2603"/>
      <c r="AE223" s="2603"/>
      <c r="AF223" s="2603"/>
      <c r="AG223" s="2603"/>
      <c r="AH223" s="827"/>
      <c r="AI223" s="827"/>
      <c r="AJ223" s="827"/>
      <c r="AK223" s="610"/>
    </row>
    <row r="224" spans="1:37">
      <c r="A224" s="605"/>
      <c r="B224" s="2463" t="s">
        <v>1182</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1182</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1182</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1182</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1182</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1182</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1182</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1182</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1182</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1182</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6131826</v>
      </c>
      <c r="AH268" s="2483"/>
      <c r="AI268" s="2483"/>
      <c r="AJ268" s="2483"/>
      <c r="AK268" s="2483"/>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68435561</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0.08</v>
      </c>
      <c r="AH270" s="2484"/>
      <c r="AI270" s="2484"/>
      <c r="AJ270" s="2484"/>
      <c r="AK270" s="248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5">
        <f>IFERROR(IF(AG270=0,0,IF((AG270*100)&gt;8,8,(AG270*100))),0)</f>
        <v>8</v>
      </c>
      <c r="AL273" s="2485"/>
      <c r="AM273" s="2486"/>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7" t="s">
        <v>544</v>
      </c>
      <c r="D278" s="2477"/>
      <c r="E278" s="547"/>
      <c r="F278" s="2634" t="s">
        <v>2022</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1361</v>
      </c>
      <c r="AH278" s="2478"/>
      <c r="AI278" s="2478"/>
      <c r="AJ278" s="2478"/>
      <c r="AK278" s="550"/>
      <c r="AL278" s="550"/>
      <c r="AM278" s="550"/>
      <c r="AO278" s="550"/>
    </row>
    <row r="279" spans="1:52" ht="13.6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6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5">
        <f>IF($C$278="yes",10,0)</f>
        <v>10</v>
      </c>
      <c r="AL285" s="2485"/>
      <c r="AM285" s="2486"/>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1380</v>
      </c>
      <c r="B292" s="1629"/>
      <c r="C292" s="2473" t="str">
        <f>IF('[1]Data Port'!$D$52="Large Family","Yes","N/A")</f>
        <v>N/A</v>
      </c>
      <c r="D292" s="2477"/>
      <c r="E292" s="547"/>
      <c r="F292" s="2505" t="s">
        <v>1381</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2015</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2023</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1382</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1383</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1384</v>
      </c>
      <c r="B302" s="1629"/>
      <c r="C302" s="2477" t="str">
        <f>IF('[1]Data Port'!$D$52="Large Family","N/A","Yes")</f>
        <v>Yes</v>
      </c>
      <c r="D302" s="2477"/>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7" t="s">
        <v>2017</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1387</v>
      </c>
      <c r="B310" s="1629"/>
      <c r="C310" s="2477" t="s">
        <v>590</v>
      </c>
      <c r="D310" s="2477"/>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9" t="s">
        <v>2024</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1182</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1182</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15" t="s">
        <v>1182</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5" t="s">
        <v>1182</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9" t="s">
        <v>1390</v>
      </c>
      <c r="B333" s="1629"/>
      <c r="C333" s="2477" t="s">
        <v>590</v>
      </c>
      <c r="D333" s="2477"/>
      <c r="E333" s="547"/>
      <c r="F333" s="2401" t="s">
        <v>2025</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10" t="s">
        <v>1312</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1452</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6"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2090</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2204</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1453</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3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1454</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1455</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580</v>
      </c>
      <c r="AP361" s="696">
        <f>IF(C407="Yes",5,0)</f>
        <v>0</v>
      </c>
      <c r="AS361" s="539" t="s">
        <v>1876</v>
      </c>
    </row>
    <row r="362" spans="1:46" s="550" customFormat="1" ht="12.75" customHeight="1">
      <c r="A362" s="603"/>
      <c r="B362" s="611"/>
      <c r="C362" s="2541" t="s">
        <v>2228</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762</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583</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6"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9" t="s">
        <v>1456</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455</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460</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627">
        <f>Application!DU802-U374</f>
        <v>270</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3" t="s">
        <v>1458</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590</v>
      </c>
      <c r="D381" s="2477"/>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1460</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3" t="s">
        <v>1461</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590</v>
      </c>
      <c r="D389" s="2477"/>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1460</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3" t="s">
        <v>1463</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544</v>
      </c>
      <c r="D397" s="2477"/>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1465</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590</v>
      </c>
      <c r="D399" s="2477"/>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1460</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3" t="s">
        <v>1469</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590</v>
      </c>
      <c r="D407" s="2477"/>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1460</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544</v>
      </c>
      <c r="D409" s="2477"/>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1472</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590</v>
      </c>
      <c r="D412" s="2477"/>
      <c r="E412" s="715" t="s">
        <v>1473</v>
      </c>
      <c r="F412" s="2523" t="s">
        <v>1474</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1460</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3" t="s">
        <v>1476</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590</v>
      </c>
      <c r="D421" s="2477"/>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1460</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590</v>
      </c>
      <c r="D423" s="2477"/>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1472</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3" t="s">
        <v>1480</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6"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590</v>
      </c>
      <c r="D430" s="2477"/>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1460</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523" t="s">
        <v>1483</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590</v>
      </c>
      <c r="D442" s="2477"/>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1460</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3" t="s">
        <v>1486</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590</v>
      </c>
      <c r="D449" s="2477"/>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1460</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590</v>
      </c>
      <c r="D453" s="2527"/>
      <c r="E453" s="715" t="s">
        <v>1495</v>
      </c>
      <c r="F453" s="2523" t="s">
        <v>1496</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1460</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850000000000001"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590</v>
      </c>
      <c r="D457" s="2477"/>
      <c r="E457" s="715" t="s">
        <v>1501</v>
      </c>
      <c r="F457" s="2523" t="s">
        <v>1502</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1460</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3" t="s">
        <v>1505</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590</v>
      </c>
      <c r="D466" s="2477"/>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1460</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1" t="s">
        <v>1509</v>
      </c>
      <c r="AF472" s="2521"/>
      <c r="AG472" s="2521"/>
      <c r="AH472" s="2521"/>
      <c r="AI472" s="2521"/>
      <c r="AJ472" s="2521"/>
      <c r="AK472" s="2521"/>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6" t="s">
        <v>590</v>
      </c>
      <c r="D478" s="2547"/>
      <c r="E478" s="761" t="s">
        <v>506</v>
      </c>
      <c r="F478" s="2548" t="s">
        <v>1515</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2" t="s">
        <v>590</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3" t="s">
        <v>544</v>
      </c>
      <c r="D482" s="2624"/>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1" t="s">
        <v>590</v>
      </c>
      <c r="W485" s="2621"/>
      <c r="X485" s="2621"/>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1" t="s">
        <v>590</v>
      </c>
      <c r="W487" s="2621"/>
      <c r="X487" s="2621"/>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1" t="s">
        <v>590</v>
      </c>
      <c r="W492" s="2621"/>
      <c r="X492" s="2621"/>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1"/>
      <c r="E495" s="2611"/>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1" t="s">
        <v>590</v>
      </c>
      <c r="W496" s="2621"/>
      <c r="X496" s="2621"/>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1" t="s">
        <v>590</v>
      </c>
      <c r="W498" s="2621"/>
      <c r="X498" s="2621"/>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590</v>
      </c>
      <c r="D501" s="2547"/>
      <c r="E501" s="761" t="s">
        <v>506</v>
      </c>
      <c r="F501" s="2548" t="s">
        <v>1515</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590</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590</v>
      </c>
      <c r="D505" s="2547"/>
      <c r="E505" s="761" t="s">
        <v>756</v>
      </c>
      <c r="F505" s="2618" t="s">
        <v>1537</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590</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590</v>
      </c>
      <c r="D510" s="2547"/>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590</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590</v>
      </c>
      <c r="D515" s="2551"/>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590</v>
      </c>
      <c r="D519" s="2551"/>
      <c r="F519" s="795" t="s">
        <v>1545</v>
      </c>
      <c r="G519" s="2524" t="s">
        <v>1546</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590</v>
      </c>
      <c r="D523" s="2553"/>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590</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1558</v>
      </c>
      <c r="AF538" s="2410"/>
      <c r="AG538" s="2410"/>
      <c r="AH538" s="2410"/>
      <c r="AI538" s="2410"/>
      <c r="AJ538" s="2410"/>
      <c r="AK538" s="2410"/>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544</v>
      </c>
      <c r="D541" s="2477"/>
      <c r="E541" s="551"/>
      <c r="F541" s="2604" t="s">
        <v>1559</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590</v>
      </c>
      <c r="D544" s="2477"/>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1561</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1562</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131246864</v>
      </c>
      <c r="AQ550" s="2626"/>
      <c r="AR550" s="2626"/>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60144196</v>
      </c>
      <c r="AG551" s="2483"/>
      <c r="AH551" s="2483"/>
      <c r="AI551" s="2483"/>
      <c r="AJ551" s="2483"/>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196870295.19999999</v>
      </c>
      <c r="AG552" s="2631"/>
      <c r="AH552" s="2631"/>
      <c r="AI552" s="2631"/>
      <c r="AJ552" s="2631"/>
      <c r="AK552" s="595"/>
      <c r="AL552" s="595"/>
      <c r="AM552" s="595"/>
      <c r="AN552" s="597"/>
      <c r="AP552" s="2626">
        <f>Application!AJ1045</f>
        <v>13124686.4</v>
      </c>
      <c r="AQ552" s="2626"/>
      <c r="AR552" s="2626"/>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0.69</v>
      </c>
      <c r="AG553" s="2632"/>
      <c r="AH553" s="2632"/>
      <c r="AI553" s="2632"/>
      <c r="AJ553" s="2632"/>
      <c r="AK553" s="595"/>
      <c r="AL553" s="595"/>
      <c r="AM553" s="595"/>
      <c r="AN553" s="597"/>
      <c r="AP553" s="2629">
        <f>Application!AJ1049</f>
        <v>26249372.800000001</v>
      </c>
      <c r="AQ553" s="2629"/>
      <c r="AR553" s="2629"/>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0.30000000000000004</v>
      </c>
      <c r="AQ554" s="2625"/>
      <c r="AR554" s="2625"/>
      <c r="AS554" s="550" t="s">
        <v>2168</v>
      </c>
    </row>
    <row r="555" spans="1:49" s="550" customFormat="1" ht="12.75" customHeight="1">
      <c r="A555" s="624"/>
      <c r="B555" s="2562" t="s">
        <v>2029</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157496236</v>
      </c>
      <c r="AQ556" s="2535"/>
      <c r="AR556" s="2535"/>
      <c r="AS556" s="550" t="s">
        <v>2170</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196870295.20000002</v>
      </c>
      <c r="AQ557" s="2626"/>
      <c r="AR557" s="2626"/>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1">
        <f>IFERROR(IF(AND(C541="N/A",C544="N/A"),0,IF(AF553=0,0,IF((AF553*100)&gt;12,12,(AF553*100)))),0)</f>
        <v>12</v>
      </c>
      <c r="AL559" s="2571"/>
      <c r="AM559" s="2572"/>
      <c r="AN559" s="597"/>
      <c r="AP559" s="2643">
        <f>AP556+(AP550*AP554)</f>
        <v>196870295.19999999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1312</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2020</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1336</v>
      </c>
      <c r="AG578" s="2445"/>
      <c r="AH578" s="2445"/>
      <c r="AI578" s="2445"/>
      <c r="AJ578" s="2445"/>
      <c r="AK578" s="2445"/>
      <c r="AL578" s="244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1394</v>
      </c>
      <c r="AG585" s="2445"/>
      <c r="AH585" s="2445"/>
      <c r="AI585" s="2445"/>
      <c r="AJ585" s="2445"/>
      <c r="AK585" s="2445"/>
      <c r="AL585" s="244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1376</v>
      </c>
      <c r="AG591" s="2445"/>
      <c r="AH591" s="2445"/>
      <c r="AI591" s="2445"/>
      <c r="AJ591" s="2445"/>
      <c r="AK591" s="2445"/>
      <c r="AL591" s="244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1397</v>
      </c>
      <c r="AG597" s="2445"/>
      <c r="AH597" s="2445"/>
      <c r="AI597" s="2445"/>
      <c r="AJ597" s="2445"/>
      <c r="AK597" s="2445"/>
      <c r="AL597" s="244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31" t="s">
        <v>1182</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1350</v>
      </c>
      <c r="AG603" s="2445"/>
      <c r="AH603" s="2445"/>
      <c r="AI603" s="2445"/>
      <c r="AJ603" s="2445"/>
      <c r="AK603" s="2445"/>
      <c r="AL603" s="244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9" t="s">
        <v>686</v>
      </c>
      <c r="I606" s="2529"/>
      <c r="J606" s="936"/>
      <c r="K606" s="936"/>
      <c r="L606" s="936"/>
      <c r="N606" s="22"/>
      <c r="O606" s="22"/>
      <c r="P606" s="22"/>
      <c r="Q606" s="1151" t="s">
        <v>2173</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0" t="s">
        <v>590</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3" t="s">
        <v>590</v>
      </c>
      <c r="C616" s="2473"/>
      <c r="D616" s="642"/>
      <c r="E616" s="2500" t="s">
        <v>1401</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8" t="s">
        <v>1692</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1350</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3" t="s">
        <v>590</v>
      </c>
      <c r="Y634" s="2473"/>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1406</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9" t="str">
        <f>'[1]Data Port'!$G$16</f>
        <v>(i)</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80">
        <f>VLOOKUP($H$638,$AO$605:$AP$607,2,FALSE)</f>
        <v>3</v>
      </c>
      <c r="AK640" s="2482"/>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0" t="s">
        <v>2095</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1350</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1406</v>
      </c>
      <c r="AG647" s="2445"/>
      <c r="AH647" s="2445"/>
      <c r="AI647" s="2445"/>
      <c r="AJ647" s="2445"/>
      <c r="AK647" s="2445"/>
      <c r="AL647" s="244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9" t="str">
        <f>'[1]Data Port'!$G$12</f>
        <v>N/A</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0" t="s">
        <v>1416</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1376</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0" t="s">
        <v>1417</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1397</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1418</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1350</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590</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500" t="s">
        <v>1419</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1397</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500" t="s">
        <v>1420</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1350</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500" t="s">
        <v>1421</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1406</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500" t="s">
        <v>1422</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1423</v>
      </c>
      <c r="AG681" s="2445"/>
      <c r="AH681" s="2445"/>
      <c r="AI681" s="2445"/>
      <c r="AJ681" s="2445"/>
      <c r="AK681" s="2445"/>
      <c r="AL681" s="2445"/>
      <c r="AM681" s="596"/>
      <c r="AN681" s="597"/>
      <c r="AO681" s="611" t="s">
        <v>686</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9" t="str">
        <f>'[1]Data Port'!$G$11</f>
        <v>(i)</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Application!G753</f>
        <v>249</v>
      </c>
    </row>
    <row r="691" spans="1:51" s="550" customFormat="1" ht="12.75" customHeight="1">
      <c r="A691" s="679"/>
      <c r="B691" s="536"/>
      <c r="C691" s="948"/>
      <c r="D691" s="663" t="s">
        <v>686</v>
      </c>
      <c r="E691" s="2536" t="s">
        <v>2186</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1350</v>
      </c>
      <c r="AG691" s="2445"/>
      <c r="AH691" s="2445"/>
      <c r="AI691" s="2445"/>
      <c r="AJ691" s="2445"/>
      <c r="AK691" s="2445"/>
      <c r="AL691" s="2445"/>
      <c r="AN691" s="597"/>
      <c r="AW691" s="22" t="s">
        <v>2181</v>
      </c>
      <c r="AX691" s="550">
        <f>Application!DE753</f>
        <v>0</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500" t="s">
        <v>2130</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1350</v>
      </c>
      <c r="AG694" s="2445"/>
      <c r="AH694" s="2445"/>
      <c r="AI694" s="2445"/>
      <c r="AJ694" s="2445"/>
      <c r="AK694" s="2445"/>
      <c r="AL694" s="2445"/>
      <c r="AN694" s="597"/>
      <c r="AW694" s="22" t="s">
        <v>2184</v>
      </c>
      <c r="AX694" s="550">
        <f>AX691+AX692+AX693</f>
        <v>0</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2185</v>
      </c>
      <c r="AX695" s="550">
        <f>IFERROR(AX694/AX690,0)</f>
        <v>0</v>
      </c>
      <c r="AY695" s="550">
        <f>IFERROR(AX694/(AX690-AX689),0)</f>
        <v>0</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500" t="s">
        <v>2131</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1406</v>
      </c>
      <c r="AG699" s="2445"/>
      <c r="AH699" s="2445"/>
      <c r="AI699" s="2445"/>
      <c r="AJ699" s="2445"/>
      <c r="AK699" s="2445"/>
      <c r="AL699" s="2445"/>
      <c r="AN699" s="597"/>
      <c r="AO699" s="611" t="s">
        <v>508</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0" t="s">
        <v>1691</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9" t="str">
        <f>'[1]Data Port'!$G$13</f>
        <v>(ii)</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80">
        <f>VLOOKUP($H$709,$AO$703:$AP$706,2,FALSE)</f>
        <v>0</v>
      </c>
      <c r="AK711" s="2482"/>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1350</v>
      </c>
      <c r="AG715" s="2445"/>
      <c r="AH715" s="2445"/>
      <c r="AI715" s="2445"/>
      <c r="AJ715" s="2445"/>
      <c r="AK715" s="2445"/>
      <c r="AL715" s="244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1406</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529" t="s">
        <v>590</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0" t="s">
        <v>1694</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1350</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0" t="s">
        <v>1437</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1406</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9" t="s">
        <v>590</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0" t="s">
        <v>1440</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1350</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0" t="s">
        <v>1441</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1406</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9" t="str">
        <f>'[1]Data Port'!$G$14</f>
        <v>(i)</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0" t="s">
        <v>1443</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1406</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0" t="s">
        <v>1444</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1423</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9" t="str">
        <f>'[1]Data Port'!$G$15</f>
        <v>(i)</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686</v>
      </c>
      <c r="E769" s="2500" t="s">
        <v>1690</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1406</v>
      </c>
      <c r="AG769" s="2445"/>
      <c r="AH769" s="2445"/>
      <c r="AI769" s="2445"/>
      <c r="AJ769" s="2445"/>
      <c r="AK769" s="2445"/>
      <c r="AL769" s="2445"/>
      <c r="AM769" s="613"/>
      <c r="AN769" s="684"/>
      <c r="AO769" s="550" t="s">
        <v>590</v>
      </c>
      <c r="AP769" s="673">
        <v>0</v>
      </c>
    </row>
    <row r="770" spans="1:81" s="570" customFormat="1" ht="13.6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9" t="s">
        <v>1695</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1350</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9" t="s">
        <v>590</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686</v>
      </c>
      <c r="E785" s="2500" t="s">
        <v>2030</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1350</v>
      </c>
      <c r="AG785" s="2445"/>
      <c r="AH785" s="2445"/>
      <c r="AI785" s="2445"/>
      <c r="AJ785" s="2445"/>
      <c r="AK785" s="2445"/>
      <c r="AL785" s="2445"/>
      <c r="AM785" s="613"/>
      <c r="AN785" s="684"/>
      <c r="AO785" s="611" t="s">
        <v>544</v>
      </c>
      <c r="AP785" s="550">
        <v>3</v>
      </c>
      <c r="AT785" s="674"/>
      <c r="AU785" s="674"/>
      <c r="AV785" s="674"/>
      <c r="AW785" s="674"/>
      <c r="AX785" s="674"/>
      <c r="AY785" s="674"/>
      <c r="AZ785" s="674"/>
    </row>
    <row r="786" spans="1:81" s="570" customFormat="1" ht="13.6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9" t="str">
        <f>IF(OR('[1]Initial Screen'!$H$11="High Resource",'[1]Initial Screen'!$H$11="Highest Resource"),"Yes","N/A")</f>
        <v>N/A</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1566</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1567</v>
      </c>
      <c r="U802" s="2577"/>
      <c r="V802" s="2577"/>
      <c r="W802" s="2577"/>
      <c r="X802" s="2577"/>
      <c r="Y802" s="2578"/>
      <c r="Z802" s="2576" t="s">
        <v>1568</v>
      </c>
      <c r="AA802" s="2577"/>
      <c r="AB802" s="2577"/>
      <c r="AC802" s="2577"/>
      <c r="AD802" s="2577"/>
      <c r="AE802" s="2578"/>
      <c r="AF802" s="2576" t="s">
        <v>1569</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756</v>
      </c>
      <c r="B804" s="2556" t="s">
        <v>1302</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1539</v>
      </c>
      <c r="B805" s="2556" t="s">
        <v>1311</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1548</v>
      </c>
      <c r="B806" s="2556" t="s">
        <v>1321</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1570</v>
      </c>
      <c r="B807" s="2556" t="s">
        <v>1331</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1571</v>
      </c>
      <c r="B808" s="2556" t="s">
        <v>1572</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1573</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1574</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1359</v>
      </c>
      <c r="B811" s="2556" t="s">
        <v>1575</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1368</v>
      </c>
      <c r="B812" s="2556" t="s">
        <v>1369</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588</v>
      </c>
      <c r="B813" s="2556" t="s">
        <v>1576</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6" t="s">
        <v>1577</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6" t="s">
        <v>1379</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6" t="s">
        <v>844</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6" t="s">
        <v>1557</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6" t="s">
        <v>1579</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1580</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1581</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91" t="s">
        <v>1582</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Wayne</cp:lastModifiedBy>
  <cp:lastPrinted>2024-12-09T20:28:29Z</cp:lastPrinted>
  <dcterms:created xsi:type="dcterms:W3CDTF">2007-12-27T18:26:28Z</dcterms:created>
  <dcterms:modified xsi:type="dcterms:W3CDTF">2025-09-09T19:44:22Z</dcterms:modified>
</cp:coreProperties>
</file>