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828 707 by Vintage\"/>
    </mc:Choice>
  </mc:AlternateContent>
  <xr:revisionPtr revIDLastSave="0" documentId="13_ncr:1_{EEEBC387-245D-4CB0-91E8-9F8ACCA7E854}" xr6:coauthVersionLast="47" xr6:coauthVersionMax="47" xr10:uidLastSave="{00000000-0000-0000-0000-000000000000}"/>
  <bookViews>
    <workbookView xWindow="19090" yWindow="-110" windowWidth="19420" windowHeight="10420" firstSheet="8"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R53" i="21" a="1"/>
  <c r="R53" i="21" s="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AZ1047" i="3" s="1"/>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20" i="21"/>
  <c r="P20" i="21" s="1" a="1"/>
  <c r="P20" i="21" s="1"/>
  <c r="S2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P30" i="21" a="1"/>
  <c r="P30" i="21" s="1"/>
  <c r="S3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Q58"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BE44" i="3" l="1"/>
  <c r="F457" i="3"/>
  <c r="H107" i="13"/>
  <c r="AI11" i="15" s="1"/>
  <c r="AI23" i="15" s="1"/>
  <c r="AI26" i="15" s="1"/>
  <c r="AI28" i="15" s="1"/>
  <c r="AC456"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D11" i="15" l="1"/>
  <c r="AD23" i="15" s="1"/>
  <c r="AD26" i="15" s="1"/>
  <c r="AD28" i="15" s="1"/>
  <c r="T11" i="15"/>
  <c r="T23" i="15" s="1"/>
  <c r="T26" i="15" s="1"/>
  <c r="T28" i="15" s="1"/>
  <c r="Y11" i="15"/>
  <c r="Y23" i="15" s="1"/>
  <c r="Y26" i="15" s="1"/>
  <c r="Y28" i="15" s="1"/>
  <c r="U58"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E67" i="7"/>
  <c r="T29" i="15"/>
  <c r="Y64" i="15"/>
  <c r="Y68" i="15" s="1"/>
  <c r="Y69" i="15" s="1"/>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<sst xmlns="http://schemas.openxmlformats.org/spreadsheetml/2006/main" count="5004" uniqueCount="2735">
  <si>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</si>
  <si>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</si>
  <si>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</si>
  <si>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</si>
  <si>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</si>
  <si>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</si>
  <si>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</si>
  <si>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</si>
  <si>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</si>
  <si>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</si>
  <si>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</si>
  <si>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</si>
  <si>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</si>
  <si>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</si>
  <si>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</si>
  <si>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</si>
  <si>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</si>
  <si>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</si>
  <si>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</si>
  <si>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</si>
  <si>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</si>
  <si>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</si>
  <si>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</si>
  <si>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</si>
  <si>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</si>
  <si>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</si>
  <si>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</si>
  <si>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</si>
  <si>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</si>
  <si>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</si>
  <si>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</si>
  <si>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</si>
  <si>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</si>
  <si>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</si>
  <si>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</si>
  <si>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</si>
  <si>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</si>
  <si>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</si>
  <si>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</si>
  <si>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</si>
  <si>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</si>
  <si>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</si>
  <si>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</si>
  <si>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</si>
  <si>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</si>
  <si>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</si>
  <si>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</si>
  <si>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</si>
  <si>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</si>
  <si>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</si>
  <si>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</si>
  <si>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</si>
  <si>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</si>
  <si>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</si>
  <si>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</si>
  <si>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</si>
  <si>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</si>
  <si>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</si>
  <si>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</si>
  <si>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</si>
  <si>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</si>
  <si>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</si>
  <si>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</si>
  <si>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</si>
  <si>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</si>
  <si>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</si>
  <si>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</si>
  <si>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</si>
  <si>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</si>
  <si>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</si>
  <si>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</si>
  <si>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</si>
  <si>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</si>
  <si>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</si>
  <si>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</si>
  <si>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</si>
  <si>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</si>
  <si>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</si>
  <si>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</si>
  <si>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</si>
  <si>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</si>
  <si>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</si>
  <si>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</si>
  <si>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</si>
  <si>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</si>
  <si>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</si>
  <si>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</si>
  <si>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</si>
  <si>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</si>
  <si>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</si>
  <si>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</si>
  <si>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</si>
  <si>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</si>
  <si>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</si>
  <si>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</si>
  <si>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</si>
  <si>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</si>
  <si>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</si>
  <si>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</si>
  <si>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</si>
  <si>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</si>
  <si>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</si>
  <si>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</si>
  <si>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</si>
  <si>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</si>
  <si>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</si>
  <si>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</si>
  <si>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</si>
  <si>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</si>
  <si>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</si>
  <si>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</si>
  <si>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</si>
  <si>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</si>
  <si>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</si>
  <si>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</si>
  <si>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</si>
  <si>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</si>
  <si>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</si>
  <si>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</si>
  <si>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</si>
  <si>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</si>
  <si>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</si>
  <si>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</si>
  <si>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</si>
  <si>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</si>
  <si>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</si>
  <si>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</si>
  <si>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</si>
  <si>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</si>
  <si>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</si>
  <si>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</si>
  <si>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</si>
  <si>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</si>
  <si>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</si>
  <si>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</si>
  <si>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</si>
  <si>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</si>
  <si>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</si>
  <si>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</si>
  <si>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</si>
  <si>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</si>
  <si>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</si>
  <si>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</si>
  <si>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</si>
  <si>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</si>
  <si>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</si>
  <si>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</si>
  <si>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</si>
  <si>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</si>
  <si>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</si>
  <si>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</si>
  <si>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</si>
  <si>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</si>
  <si>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</si>
  <si>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</si>
  <si>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</si>
  <si>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</si>
  <si>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</si>
  <si>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</si>
  <si>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</si>
  <si>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</si>
  <si>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</si>
  <si>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</si>
  <si>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</si>
  <si>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</si>
  <si>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</si>
  <si>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</si>
  <si>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</si>
  <si>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</si>
  <si>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</si>
  <si>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</si>
  <si>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</si>
  <si>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</si>
  <si>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</si>
  <si>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</si>
  <si>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</si>
  <si>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</si>
  <si>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</si>
  <si>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</si>
  <si>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</si>
  <si>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</si>
  <si>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</si>
  <si>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</si>
  <si>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</si>
  <si>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</si>
  <si>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</si>
  <si>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</si>
  <si>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</si>
  <si>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</si>
  <si>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</si>
  <si>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</si>
  <si>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</si>
  <si>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</si>
  <si>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</si>
  <si>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</si>
  <si>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</si>
  <si>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</si>
  <si>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</si>
  <si>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</si>
  <si>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</si>
  <si>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</si>
  <si>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</si>
  <si>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</si>
  <si>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</si>
  <si>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</si>
  <si>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</si>
  <si>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</si>
  <si>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</si>
  <si>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</si>
  <si>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</si>
  <si>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</si>
  <si>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</si>
  <si>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</si>
  <si>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</si>
  <si>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</si>
  <si>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</si>
  <si>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</si>
  <si>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</si>
  <si>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</si>
  <si>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</si>
  <si>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</si>
  <si>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</si>
  <si>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</si>
  <si>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</si>
  <si>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</si>
  <si>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</si>
  <si>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</si>
  <si>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</si>
  <si>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</si>
  <si>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</si>
  <si>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</si>
  <si>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</si>
  <si>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</si>
  <si>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</si>
  <si>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</si>
  <si>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</si>
  <si>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</si>
  <si>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</si>
  <si>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</si>
  <si>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</si>
  <si>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</si>
  <si>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</si>
  <si>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</si>
  <si>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</si>
  <si>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</si>
  <si>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</si>
  <si>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</si>
  <si>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</si>
  <si>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</si>
  <si>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</si>
  <si>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</si>
  <si>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</si>
  <si>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</si>
  <si>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</si>
  <si>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</si>
  <si>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</si>
  <si>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</si>
  <si>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</si>
  <si>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</si>
  <si>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</si>
  <si>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</si>
  <si>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</si>
  <si>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</si>
  <si>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</si>
  <si>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</si>
  <si>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</si>
  <si>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</si>
  <si>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</si>
  <si>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</si>
  <si>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</si>
  <si>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</si>
  <si>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</si>
  <si>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</si>
  <si>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</si>
  <si>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</si>
  <si>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</si>
  <si>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</si>
  <si>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</si>
  <si>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</si>
  <si>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</si>
  <si>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</si>
  <si>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</si>
  <si>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</si>
  <si>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</si>
  <si>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</si>
  <si>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</si>
  <si>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</si>
  <si>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</si>
  <si>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</si>
  <si>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</si>
  <si>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</si>
  <si>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</si>
  <si>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</si>
  <si>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</si>
  <si>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</si>
  <si>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</si>
  <si>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</si>
  <si>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</si>
  <si>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</si>
  <si>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</si>
  <si>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</si>
  <si>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</si>
  <si>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</si>
  <si>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</si>
  <si>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</si>
  <si>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</si>
  <si>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</si>
  <si>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</si>
  <si>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</si>
  <si>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</si>
  <si>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</si>
  <si>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</si>
  <si>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</si>
  <si>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</si>
  <si>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</si>
  <si>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</si>
  <si>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</si>
  <si>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</si>
  <si>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</si>
  <si>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</si>
  <si>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</si>
  <si>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</si>
  <si>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</si>
  <si>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</si>
  <si>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</si>
  <si>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</si>
  <si>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</si>
  <si>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</si>
  <si>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</si>
  <si>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</si>
  <si>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</si>
  <si>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</si>
  <si>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</si>
  <si>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</si>
  <si>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</si>
  <si>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</si>
  <si>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</si>
  <si>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</si>
  <si>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</si>
  <si>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</si>
  <si>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</si>
  <si>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</si>
  <si>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</si>
  <si>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</si>
  <si>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</si>
  <si>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</si>
  <si>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</si>
  <si>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</si>
  <si>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</si>
  <si>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</si>
  <si>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</si>
  <si>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</si>
  <si>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</si>
  <si>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</si>
  <si>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</si>
  <si>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</si>
  <si>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</si>
  <si>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</si>
  <si>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</si>
  <si>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</si>
  <si>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</si>
  <si>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</si>
  <si>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</si>
  <si>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</si>
  <si>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</si>
  <si>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</si>
  <si>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</si>
  <si>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</si>
  <si>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</si>
  <si>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</si>
  <si>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</si>
  <si>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</si>
  <si>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</si>
  <si>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</si>
  <si>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</si>
  <si>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</si>
  <si>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</si>
  <si>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</si>
  <si>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</si>
  <si>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</si>
  <si>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</si>
  <si>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</si>
  <si>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</si>
  <si>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</si>
  <si>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</si>
  <si>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</si>
  <si>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</si>
  <si>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</si>
  <si>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</si>
  <si>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</si>
  <si>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</si>
  <si>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</si>
  <si>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</si>
  <si>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</si>
  <si>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</si>
  <si>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</si>
  <si>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</si>
  <si>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</si>
  <si>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</si>
  <si>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</si>
  <si>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</si>
  <si>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</si>
  <si>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</si>
  <si>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</si>
  <si>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</si>
  <si>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</si>
  <si>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</si>
  <si>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</si>
  <si>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</si>
  <si>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</si>
  <si>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</si>
  <si>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</si>
  <si>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</si>
  <si>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</si>
  <si>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</si>
  <si>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</si>
  <si>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</si>
  <si>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</si>
  <si>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</si>
  <si>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</si>
  <si>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</si>
  <si>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</si>
  <si>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</si>
  <si>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</si>
  <si>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</si>
  <si>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</si>
  <si>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</si>
  <si>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</si>
  <si>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</si>
  <si>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</si>
  <si>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</si>
  <si>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</si>
  <si>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</si>
  <si>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</si>
  <si>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</si>
  <si>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</si>
  <si>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</si>
  <si>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</si>
  <si>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</si>
  <si>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</si>
  <si>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</si>
  <si>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</si>
  <si>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</si>
  <si>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</si>
  <si>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</si>
  <si>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</si>
  <si>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</si>
  <si>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</si>
  <si>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</si>
  <si>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</si>
  <si>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</si>
  <si>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</si>
  <si>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</si>
  <si>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</si>
  <si>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</si>
  <si>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</si>
  <si>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</si>
  <si>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</si>
  <si>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</si>
  <si>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</si>
  <si>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</si>
  <si>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</si>
  <si>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</si>
  <si>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</si>
  <si>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</si>
  <si>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</si>
  <si>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</si>
  <si>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</si>
  <si>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</si>
  <si>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</si>
  <si>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</si>
  <si>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</si>
  <si>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</si>
  <si>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</si>
  <si>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</si>
  <si>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</si>
  <si>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</si>
  <si>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</si>
  <si>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</si>
  <si>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</si>
  <si>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</si>
  <si>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</si>
  <si>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</si>
  <si>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</si>
  <si>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</si>
  <si>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</si>
  <si>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</si>
  <si>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</si>
  <si>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</si>
  <si>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</si>
  <si>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</si>
  <si>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</si>
  <si>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</si>
  <si>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</si>
  <si>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</si>
  <si>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</si>
  <si>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</si>
  <si>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</si>
  <si>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</si>
  <si>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</si>
  <si>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</si>
  <si>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</si>
  <si>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</si>
  <si>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</si>
  <si>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</si>
  <si>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</si>
  <si>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</si>
  <si>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</si>
  <si>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</si>
  <si>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</si>
  <si>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</si>
  <si>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</si>
  <si>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</si>
  <si>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</si>
  <si>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</si>
  <si>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</si>
  <si>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</si>
  <si>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</si>
  <si>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</si>
  <si>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</si>
  <si>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</si>
  <si>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</si>
  <si>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</si>
  <si>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</si>
  <si>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</si>
  <si>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</si>
  <si>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</si>
  <si>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</si>
  <si>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</si>
  <si>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</si>
  <si>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</si>
  <si>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</si>
  <si>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</si>
  <si>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</si>
  <si>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</si>
  <si>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</si>
  <si>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</si>
  <si>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</si>
  <si>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</si>
  <si>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</si>
  <si>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</si>
  <si>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</si>
  <si>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</si>
  <si>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</si>
  <si>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</si>
  <si>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</si>
  <si>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</si>
  <si>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</si>
  <si>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</si>
  <si>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</si>
  <si>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</si>
  <si>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</si>
  <si>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</si>
  <si>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</si>
  <si>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</si>
  <si>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</si>
  <si>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</si>
  <si>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</si>
  <si>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</si>
  <si>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</si>
  <si>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</si>
  <si>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</si>
  <si>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</si>
  <si>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</si>
  <si>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</si>
  <si>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</si>
  <si>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</si>
  <si>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</si>
  <si>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</si>
  <si>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</si>
  <si>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</si>
  <si>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</si>
  <si>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</si>
  <si>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</si>
  <si>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</si>
  <si>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</si>
  <si>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</si>
  <si>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</si>
  <si>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</si>
  <si>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</si>
  <si>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</si>
  <si>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</si>
  <si>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</si>
  <si>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</si>
  <si>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</si>
  <si>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</si>
  <si>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</si>
  <si>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</si>
  <si>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</si>
  <si>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</si>
  <si>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</si>
  <si>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</si>
  <si>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</si>
  <si>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</si>
  <si>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</si>
  <si>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</si>
  <si>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</si>
  <si>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</si>
  <si>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</si>
  <si>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</si>
  <si>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</si>
  <si>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</si>
  <si>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</si>
  <si>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</si>
  <si>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</si>
  <si>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</si>
  <si>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</si>
  <si>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</si>
  <si>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</si>
  <si>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</si>
  <si>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</si>
  <si>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</si>
  <si>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</si>
  <si>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</si>
  <si>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</si>
  <si>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</si>
  <si>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</si>
  <si>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</si>
  <si>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</si>
  <si>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</si>
  <si>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</si>
  <si>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</si>
  <si>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</si>
  <si>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</si>
  <si>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</si>
  <si>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</si>
  <si>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</si>
  <si>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</si>
  <si>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</si>
  <si>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</si>
  <si>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</si>
  <si>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</si>
  <si>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</si>
  <si>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</si>
  <si>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</si>
  <si>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</si>
  <si>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</si>
  <si>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</si>
  <si>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</si>
  <si>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</si>
  <si>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</si>
  <si>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</si>
  <si>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</si>
  <si>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</si>
  <si>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</si>
  <si>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</si>
  <si>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</si>
  <si>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</si>
  <si>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</si>
  <si>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</si>
  <si>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</si>
  <si>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</si>
  <si>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</si>
  <si>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</si>
  <si>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</si>
  <si>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</si>
  <si>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</si>
  <si>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</si>
  <si>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</si>
  <si>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</si>
  <si>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</si>
  <si>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</si>
  <si>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</si>
  <si>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</si>
  <si>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</si>
  <si>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</si>
  <si>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</si>
  <si>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</si>
  <si>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</si>
  <si>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</si>
  <si>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</si>
  <si>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</si>
  <si>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</si>
  <si>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</si>
  <si>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</si>
  <si>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</si>
  <si>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</si>
  <si>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</si>
  <si>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</si>
  <si>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</si>
  <si>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</si>
  <si>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</si>
  <si>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</si>
  <si>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</si>
  <si>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</si>
  <si>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</si>
  <si>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</si>
  <si>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</si>
  <si>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</si>
  <si>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</si>
  <si>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</si>
  <si>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</si>
  <si>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</si>
  <si>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</si>
  <si>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</si>
  <si>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</si>
  <si>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</si>
  <si>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</si>
  <si>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</si>
  <si>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</si>
  <si>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</si>
  <si>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</si>
  <si>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</si>
  <si>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</si>
  <si>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</si>
  <si>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</si>
  <si>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</si>
  <si>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</si>
  <si>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</si>
  <si>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</si>
  <si>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</si>
  <si>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</si>
  <si>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</si>
  <si>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</si>
  <si>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</si>
  <si>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</si>
  <si>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</si>
  <si>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</si>
  <si>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</si>
  <si>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</si>
  <si>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</si>
  <si>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</si>
  <si>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</si>
  <si>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</si>
  <si>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</si>
  <si>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</si>
  <si>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</si>
  <si>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</si>
  <si>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</si>
  <si>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</si>
  <si>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</si>
  <si>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</si>
  <si>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</si>
  <si>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</si>
  <si>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</si>
  <si>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</si>
  <si>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</si>
  <si>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</si>
  <si>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</si>
  <si>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</si>
  <si>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</si>
  <si>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</si>
  <si>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</si>
  <si>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</si>
  <si>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</si>
  <si>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</si>
  <si>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</si>
  <si>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</si>
  <si>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</si>
  <si>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</si>
  <si>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</si>
  <si>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</si>
  <si>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</si>
  <si>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</si>
  <si>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</si>
  <si>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</si>
  <si>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</si>
  <si>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</si>
  <si>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</si>
  <si>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</si>
  <si>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</si>
  <si>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</si>
  <si>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</si>
  <si>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</si>
  <si>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</si>
  <si>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</si>
  <si>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</si>
  <si>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</si>
  <si>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</si>
  <si>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</si>
  <si>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</si>
  <si>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</si>
  <si>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</si>
  <si>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</si>
  <si>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</si>
  <si>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</si>
  <si>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</si>
  <si>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</si>
  <si>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</si>
  <si>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</si>
  <si>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</si>
  <si>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</si>
  <si>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</si>
  <si>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</si>
  <si>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</si>
  <si>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</si>
  <si>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</si>
  <si>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</si>
  <si>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</si>
  <si>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</si>
  <si>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</si>
  <si>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</si>
  <si>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</si>
  <si>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</si>
  <si>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</si>
  <si>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</si>
  <si>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</si>
  <si>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</si>
  <si>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</si>
  <si>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</si>
  <si>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</si>
  <si>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</si>
  <si>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</si>
  <si>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</si>
  <si>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</si>
  <si>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</si>
  <si>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</si>
  <si>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</si>
  <si>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</si>
  <si>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</si>
  <si>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</si>
  <si>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</si>
  <si>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</si>
  <si>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</si>
  <si>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</si>
  <si>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</si>
  <si>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</si>
  <si>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</si>
  <si>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</si>
  <si>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</si>
  <si>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</si>
  <si>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</si>
  <si>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</si>
  <si>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</si>
  <si>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</si>
  <si>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</si>
  <si>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</si>
  <si>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</si>
  <si>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</si>
  <si>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</si>
  <si>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</si>
  <si>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</si>
  <si>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</si>
  <si>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</si>
  <si>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</si>
  <si>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</si>
  <si>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</si>
  <si>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</si>
  <si>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</si>
  <si>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</si>
  <si>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</si>
  <si>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</si>
  <si>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</si>
  <si>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</si>
  <si>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</si>
  <si>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</si>
  <si>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</si>
  <si>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</si>
  <si>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</si>
  <si>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</si>
  <si>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</si>
  <si>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</si>
  <si>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</si>
  <si>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</si>
  <si>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</si>
  <si>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</si>
  <si>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</si>
  <si>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</si>
  <si>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</si>
  <si>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</si>
  <si>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</si>
  <si>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</si>
  <si>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</si>
  <si>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</si>
  <si>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</si>
  <si>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</si>
  <si>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</si>
  <si>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</si>
  <si>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</si>
  <si>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</si>
  <si>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</si>
  <si>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</si>
  <si>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</si>
  <si>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</si>
  <si>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</si>
  <si>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</si>
  <si>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</si>
  <si>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</si>
  <si>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</si>
  <si>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</si>
  <si>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</si>
  <si>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</si>
  <si>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</si>
  <si>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</si>
  <si>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</si>
  <si>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</si>
  <si>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</si>
  <si>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</si>
  <si>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</si>
  <si>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</si>
  <si>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</si>
  <si>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</si>
  <si>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</si>
  <si>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</si>
  <si>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</si>
  <si>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</si>
  <si>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</si>
  <si>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</si>
  <si>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</si>
  <si>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</si>
  <si>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</si>
  <si>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</si>
  <si>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</si>
  <si>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</si>
  <si>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</si>
  <si>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</si>
  <si>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</si>
  <si>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</si>
  <si>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</si>
  <si>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</si>
  <si>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</si>
  <si>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</si>
  <si>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</si>
  <si>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</si>
  <si>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</si>
  <si>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</si>
  <si>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</si>
  <si>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</si>
  <si>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</si>
  <si>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</si>
  <si>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</si>
  <si>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</si>
  <si>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</si>
  <si>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</si>
  <si>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</si>
  <si>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</si>
  <si>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</si>
  <si>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</si>
  <si>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</si>
  <si>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</si>
  <si>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</si>
  <si>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</si>
  <si>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</si>
  <si>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</si>
  <si>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</si>
  <si>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</si>
  <si>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</si>
  <si>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</si>
  <si>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</si>
  <si>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</si>
  <si>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</si>
  <si>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</si>
  <si>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</si>
  <si>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</si>
  <si>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</si>
  <si>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</si>
  <si>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</si>
  <si>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</si>
  <si>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</si>
  <si>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</si>
  <si>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</si>
  <si>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</si>
  <si>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</si>
  <si>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</si>
  <si>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</si>
  <si>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</si>
  <si>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</si>
  <si>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</si>
  <si>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</si>
  <si>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</si>
  <si>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</si>
  <si>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</si>
  <si>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</si>
  <si>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</si>
  <si>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</si>
  <si>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</si>
  <si>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</si>
  <si>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</si>
  <si>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</si>
  <si>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</si>
  <si>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</si>
  <si>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</si>
  <si>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</si>
  <si>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</si>
  <si>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</si>
  <si>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</si>
  <si>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</si>
  <si>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</si>
  <si>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</si>
  <si>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</si>
  <si>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</si>
  <si>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</si>
  <si>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</si>
  <si>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</si>
  <si>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</si>
  <si>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</si>
  <si>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</si>
  <si>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</si>
  <si>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</si>
  <si>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</si>
  <si>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</si>
  <si>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</si>
  <si>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</si>
  <si>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</si>
  <si>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</si>
  <si>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</si>
  <si>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</si>
  <si>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</si>
  <si>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</si>
  <si>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</si>
  <si>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</si>
  <si>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</si>
  <si>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</si>
  <si>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</si>
  <si>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</si>
  <si>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</si>
  <si>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</si>
  <si>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</si>
  <si>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</si>
  <si>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</si>
  <si>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</si>
  <si>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</si>
  <si>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</si>
  <si>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</si>
  <si>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</si>
  <si>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</si>
  <si>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</si>
  <si>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</si>
  <si>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</si>
  <si>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</si>
  <si>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</si>
  <si>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</si>
  <si>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</si>
  <si>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</si>
  <si>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</si>
  <si>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</si>
  <si>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</si>
  <si>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</si>
  <si>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</si>
  <si>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</si>
  <si>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</si>
  <si>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</si>
  <si>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</si>
  <si>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</si>
  <si>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</si>
  <si>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</si>
  <si>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</si>
  <si>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</si>
  <si>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</si>
  <si>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</si>
  <si>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</si>
  <si>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</si>
  <si>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</si>
  <si>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</si>
  <si>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</si>
  <si>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</si>
  <si>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</si>
  <si>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</si>
  <si>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</si>
  <si>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</si>
  <si>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</si>
  <si>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</si>
  <si>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</si>
  <si>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</si>
  <si>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</si>
  <si>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</si>
  <si>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</si>
  <si>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</si>
  <si>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</si>
  <si>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</si>
  <si>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</si>
  <si>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</si>
  <si>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</si>
  <si>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</si>
  <si>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</si>
  <si>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</si>
  <si>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</si>
  <si>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</si>
  <si>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</si>
  <si>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</si>
  <si>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</si>
  <si>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</si>
  <si>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</si>
  <si>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</si>
  <si>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</si>
  <si>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</si>
  <si>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</si>
  <si>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</si>
  <si>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</si>
  <si>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</si>
  <si>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</si>
  <si>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</si>
  <si>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</si>
  <si>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</si>
  <si>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</si>
  <si>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</si>
  <si>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</si>
  <si>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</si>
  <si>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</si>
  <si>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</si>
  <si>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</si>
  <si>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</si>
  <si>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</si>
  <si>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</si>
  <si>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</si>
  <si>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</si>
  <si>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</si>
  <si>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</si>
  <si>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</si>
  <si>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</si>
  <si>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</si>
  <si>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</si>
  <si>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</si>
  <si>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</si>
  <si>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</si>
  <si>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</si>
  <si>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</si>
  <si>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</si>
  <si>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</si>
  <si>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</si>
  <si>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</si>
  <si>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</si>
  <si>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</si>
  <si>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</si>
  <si>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</si>
  <si>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</si>
  <si>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</si>
  <si>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</si>
  <si>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</si>
  <si>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</si>
  <si>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</si>
  <si>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</si>
  <si>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</si>
  <si>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</si>
  <si>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</si>
  <si>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</si>
  <si>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</si>
  <si>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</si>
  <si>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</si>
  <si>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</si>
  <si>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</si>
  <si>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</si>
  <si>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</si>
  <si>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</si>
  <si>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</si>
  <si>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</si>
  <si>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</si>
  <si>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</si>
  <si>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</si>
  <si>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</si>
  <si>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</si>
  <si>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</si>
  <si>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</si>
  <si>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</si>
  <si>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</si>
  <si>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</si>
  <si>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</si>
  <si>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</si>
  <si>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</si>
  <si>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</si>
  <si>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</si>
  <si>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</si>
  <si>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</si>
  <si>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</si>
  <si>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</si>
  <si>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</si>
  <si>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</si>
  <si>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</si>
  <si>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</si>
  <si>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</si>
  <si>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</si>
  <si>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</si>
  <si>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</si>
  <si>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</si>
  <si>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</si>
  <si>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</si>
  <si>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</si>
  <si>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</si>
  <si>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</si>
  <si>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</si>
  <si>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</si>
  <si>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</si>
  <si>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</si>
  <si>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</si>
  <si>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</si>
  <si>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</si>
  <si>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</si>
  <si>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</si>
  <si>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</si>
  <si>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</si>
  <si>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</si>
  <si>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</si>
  <si>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</si>
  <si>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</si>
  <si>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</si>
  <si>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</si>
  <si>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</si>
  <si>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</si>
  <si>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</si>
  <si>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</si>
  <si>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</si>
  <si>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</si>
  <si>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</si>
  <si>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</si>
  <si>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</si>
  <si>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</si>
  <si>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</si>
  <si>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</si>
  <si>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</si>
  <si>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</si>
  <si>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</si>
  <si>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</si>
  <si>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</si>
  <si>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</si>
  <si>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</si>
  <si>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</si>
  <si>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</si>
  <si>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</si>
  <si>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</si>
  <si>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</si>
  <si>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</si>
  <si>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</si>
  <si>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</si>
  <si>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</si>
  <si>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</si>
  <si>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</si>
  <si>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</si>
  <si>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</si>
  <si>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</si>
  <si>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</si>
  <si>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</si>
  <si>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</si>
  <si>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</si>
  <si>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</si>
  <si>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</si>
  <si>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</si>
  <si>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</si>
  <si>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</si>
  <si>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</si>
  <si>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</si>
  <si>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</si>
  <si>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</si>
  <si>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</si>
  <si>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</si>
  <si>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</si>
  <si>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</si>
  <si>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</si>
  <si>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</si>
  <si>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</si>
  <si>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</si>
  <si>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</si>
  <si>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</si>
  <si>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</si>
  <si>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</si>
  <si>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</si>
  <si>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</si>
  <si>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</si>
  <si>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</si>
  <si>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</si>
  <si>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</si>
  <si>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</si>
  <si>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</si>
  <si>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</si>
  <si>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</si>
  <si>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</si>
  <si>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</si>
  <si>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</si>
  <si>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</si>
  <si>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</si>
  <si>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</si>
  <si>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</si>
  <si>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</si>
  <si>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</si>
  <si>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</si>
  <si>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</si>
  <si>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</si>
  <si>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</si>
  <si>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</si>
  <si>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</si>
  <si>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</si>
  <si>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</si>
  <si>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</si>
  <si>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</si>
  <si>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</si>
  <si>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</si>
  <si>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</si>
  <si>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</si>
  <si>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</si>
  <si>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</si>
  <si>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</si>
  <si>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</si>
  <si>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</si>
  <si>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</si>
  <si>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</si>
  <si>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</si>
  <si>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</si>
  <si>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</si>
  <si>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</si>
  <si>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</si>
  <si>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</si>
  <si>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</si>
  <si>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</si>
  <si>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</si>
  <si>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</si>
  <si>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</si>
  <si>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</si>
  <si>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</si>
  <si>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</si>
  <si>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</si>
  <si>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</si>
  <si>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</si>
  <si>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</si>
  <si>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</si>
  <si>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</si>
  <si>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</si>
  <si>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</si>
  <si>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</si>
  <si>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</si>
  <si>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</si>
  <si>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</si>
  <si>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</si>
  <si>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</si>
  <si>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</si>
  <si>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</si>
  <si>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</si>
  <si>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</si>
  <si>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</si>
  <si>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</si>
  <si>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</si>
  <si>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</si>
  <si>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</si>
  <si>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</si>
  <si>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</si>
  <si>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</si>
  <si>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</si>
  <si>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</si>
  <si>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</si>
  <si>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</si>
  <si>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</si>
  <si>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</si>
  <si>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</si>
  <si>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</si>
  <si>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</si>
  <si>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</si>
  <si>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</si>
  <si>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</si>
  <si>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</si>
  <si>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</si>
  <si>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</si>
  <si>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</si>
  <si>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</si>
  <si>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</si>
  <si>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</si>
  <si>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</si>
  <si>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</si>
  <si>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</si>
  <si>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</si>
  <si>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</si>
  <si>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</si>
  <si>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</si>
  <si>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</si>
  <si>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</si>
  <si>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</si>
  <si>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</si>
  <si>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</si>
  <si>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</si>
  <si>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</si>
  <si>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</si>
  <si>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</si>
  <si>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</si>
  <si>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</si>
  <si>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</si>
  <si>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</si>
  <si>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</si>
  <si>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</si>
  <si>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</si>
  <si>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</si>
  <si>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</si>
  <si>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</si>
  <si>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</si>
  <si>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</si>
  <si>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</si>
  <si>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</si>
  <si>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</si>
  <si>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</si>
  <si>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</si>
  <si>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</si>
  <si>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</si>
  <si>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</si>
  <si>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</si>
  <si>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</si>
  <si>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</si>
  <si>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</si>
  <si>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</si>
  <si>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</si>
  <si>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</si>
  <si>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</si>
  <si>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</si>
  <si>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</si>
  <si>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</si>
  <si>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</si>
  <si>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</si>
  <si>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</si>
  <si>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</si>
  <si>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</si>
  <si>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</si>
  <si>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</si>
  <si>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</si>
  <si>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</si>
  <si>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</si>
  <si>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</si>
  <si>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</si>
  <si>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</si>
  <si>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</si>
  <si>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</si>
  <si>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</si>
  <si>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</si>
  <si>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</si>
  <si>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</si>
  <si>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</si>
  <si>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</si>
  <si>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</si>
  <si>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</si>
  <si>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</si>
  <si>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</si>
  <si>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</si>
  <si>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</si>
  <si>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</si>
  <si>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</si>
  <si>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</si>
  <si>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</si>
  <si>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</si>
  <si>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</si>
  <si>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</si>
  <si>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</si>
  <si>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</si>
  <si>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</si>
  <si>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</si>
  <si>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</si>
  <si>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</si>
  <si>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</si>
  <si>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</si>
  <si>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</si>
  <si>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</si>
  <si>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</si>
  <si>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</si>
  <si>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</si>
  <si>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</si>
  <si>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</si>
  <si>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</si>
  <si>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</si>
  <si>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</si>
  <si>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</si>
  <si>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</si>
  <si>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</si>
  <si>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</si>
  <si>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</si>
  <si>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</si>
  <si>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</si>
  <si>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</si>
  <si>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</si>
  <si>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</si>
  <si>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</si>
  <si>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</si>
  <si>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</si>
  <si>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</si>
  <si>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</si>
  <si>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</si>
  <si>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</si>
  <si>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</si>
  <si>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</si>
  <si>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</si>
  <si>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</si>
  <si>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</si>
  <si>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</si>
  <si>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</si>
  <si>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</si>
  <si>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</si>
  <si>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</si>
  <si>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</si>
  <si>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</si>
  <si>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</si>
  <si>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</si>
  <si>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</si>
  <si>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</si>
  <si>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</si>
  <si>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</si>
  <si>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</si>
  <si>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</si>
  <si>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</si>
  <si>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</si>
  <si>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</si>
  <si>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</si>
  <si>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</si>
  <si>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</si>
  <si>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</si>
  <si>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</si>
  <si>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</si>
  <si>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</si>
  <si>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</si>
  <si>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</si>
  <si>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</si>
  <si>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</si>
  <si>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</si>
  <si>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</si>
  <si>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</si>
  <si>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</si>
  <si>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</si>
  <si>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</si>
  <si>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</si>
  <si>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</si>
  <si>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</si>
  <si>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</si>
  <si>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</si>
  <si>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</si>
  <si>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</si>
  <si>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</si>
  <si>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</si>
  <si>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</si>
  <si>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</si>
  <si>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</si>
  <si>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</si>
  <si>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</si>
  <si>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</si>
  <si>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</si>
  <si>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</si>
  <si>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</si>
  <si>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</si>
  <si>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</si>
  <si>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</si>
  <si>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</si>
  <si>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</si>
  <si>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</si>
  <si>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</si>
  <si>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</si>
  <si>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</si>
  <si>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</si>
  <si>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</si>
  <si>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</si>
  <si>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</si>
  <si>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</si>
  <si>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</si>
  <si>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</si>
  <si>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</si>
  <si>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</si>
  <si>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</si>
  <si>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</si>
  <si>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</si>
  <si>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</si>
  <si>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</si>
  <si>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</si>
  <si>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</si>
  <si>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</si>
  <si>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</si>
  <si>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</si>
  <si>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</si>
  <si>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</si>
  <si>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</si>
  <si>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</si>
  <si>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</si>
  <si>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</si>
  <si>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</si>
  <si>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</si>
  <si>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</si>
  <si>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</si>
  <si>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</si>
  <si>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</si>
  <si>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</si>
  <si>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</si>
  <si>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</si>
  <si>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</si>
  <si>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</si>
  <si>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</si>
  <si>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</si>
  <si>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</si>
  <si>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</si>
  <si>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</si>
  <si>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</si>
  <si>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</si>
  <si>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</si>
  <si>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</si>
  <si>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</si>
  <si>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</si>
  <si>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</si>
  <si>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</si>
  <si>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</si>
  <si>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</si>
  <si>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</si>
  <si>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</si>
  <si>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</si>
  <si>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</si>
  <si>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</si>
  <si>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</si>
  <si>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</si>
  <si>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</si>
  <si>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</si>
  <si>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</si>
  <si>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</si>
  <si>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</si>
  <si>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</si>
  <si>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</si>
  <si>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</si>
  <si>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</si>
  <si>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</si>
  <si>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</si>
  <si>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</si>
  <si>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</si>
  <si>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</si>
  <si>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</si>
  <si>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</si>
  <si>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</si>
  <si>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</si>
  <si>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</si>
  <si>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</si>
  <si>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</si>
  <si>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</si>
  <si>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</si>
  <si>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</si>
  <si>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</si>
  <si>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</si>
  <si>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</si>
  <si>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</si>
  <si>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</si>
  <si>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</si>
  <si>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</si>
  <si>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</si>
  <si>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</si>
  <si>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</si>
  <si>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</si>
  <si>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</si>
  <si>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</si>
  <si>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</si>
  <si>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</si>
  <si>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</si>
  <si>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</si>
  <si>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</si>
  <si>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</si>
  <si>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</si>
  <si>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</si>
  <si>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</si>
  <si>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</si>
  <si>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</si>
  <si>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</si>
  <si>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</si>
  <si>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</si>
  <si>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</si>
  <si>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</si>
  <si>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</si>
  <si>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</si>
  <si>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</si>
  <si>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</si>
  <si>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</si>
  <si>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</si>
  <si>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</si>
  <si>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</si>
  <si>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</si>
  <si>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</si>
  <si>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</si>
  <si>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</si>
  <si>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</si>
  <si>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</si>
  <si>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</si>
  <si>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</si>
  <si>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</si>
  <si>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</si>
  <si>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</si>
  <si>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</si>
  <si>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</si>
  <si>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</si>
  <si>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</si>
  <si>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</si>
  <si>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</si>
  <si>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</si>
  <si>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</si>
  <si>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</si>
  <si>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</si>
  <si>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</si>
  <si>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</si>
  <si>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</si>
  <si>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</si>
  <si>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</si>
  <si>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</si>
  <si>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</si>
  <si>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</si>
  <si>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</si>
  <si>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</si>
  <si>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</si>
  <si>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</si>
  <si>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</si>
  <si>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</si>
  <si>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</si>
  <si>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</si>
  <si>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</si>
  <si>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</si>
  <si>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</si>
  <si>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</si>
  <si>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</si>
  <si>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</si>
  <si>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</si>
  <si>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</si>
  <si>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</si>
  <si>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</si>
  <si>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</si>
  <si>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</si>
  <si>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</si>
  <si>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</si>
  <si>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</si>
  <si>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</si>
  <si>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</si>
  <si>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</si>
  <si>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</si>
  <si>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</si>
  <si>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</si>
  <si>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</si>
  <si>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</si>
  <si>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</si>
  <si>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</si>
  <si>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</si>
  <si>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</si>
  <si>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</si>
  <si>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</si>
  <si>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</si>
  <si>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</si>
  <si>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</si>
  <si>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</si>
  <si>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</si>
  <si>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</si>
  <si>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</si>
  <si>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</si>
  <si>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</si>
  <si>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</si>
  <si>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</si>
  <si>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</si>
  <si>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</si>
  <si>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</si>
  <si>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</si>
  <si>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</si>
  <si>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</si>
  <si>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</si>
  <si>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</si>
  <si>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</si>
  <si>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</si>
  <si>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</si>
  <si>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</si>
  <si>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</si>
  <si>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</si>
  <si>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</si>
  <si>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</si>
  <si>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</si>
  <si>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</si>
  <si>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</si>
  <si>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</si>
  <si>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</si>
  <si>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</si>
  <si>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</si>
  <si>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</si>
  <si>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</si>
  <si>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</si>
  <si>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</si>
  <si>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</si>
  <si>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</si>
  <si>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</si>
  <si>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</si>
  <si>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</si>
  <si>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</si>
  <si>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</si>
  <si>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</si>
  <si>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</si>
  <si>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</si>
  <si>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</si>
  <si>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</si>
  <si>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</si>
  <si>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</si>
  <si>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</si>
  <si>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</si>
  <si>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</si>
  <si>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</si>
  <si>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</si>
  <si>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</si>
  <si>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</si>
  <si>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</si>
  <si>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</si>
  <si>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</si>
  <si>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</si>
  <si>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</si>
  <si>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</si>
  <si>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</si>
  <si>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</si>
  <si>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</si>
  <si>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</si>
  <si>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</si>
  <si>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</si>
  <si>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</si>
  <si>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</si>
  <si>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</si>
  <si>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</si>
  <si>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</si>
  <si>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</si>
  <si>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</si>
  <si>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</si>
  <si>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</si>
  <si>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</si>
  <si>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</si>
  <si>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</si>
  <si>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</si>
  <si>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</si>
  <si>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</si>
  <si>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</si>
  <si>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</si>
  <si>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</si>
  <si>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</si>
  <si>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</si>
  <si>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</si>
  <si>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</si>
  <si>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</si>
  <si>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</si>
  <si>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</si>
  <si>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</si>
  <si>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</si>
  <si>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</si>
  <si>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</si>
  <si>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</si>
  <si>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</si>
  <si>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</si>
  <si>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</si>
  <si>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</si>
  <si>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</si>
  <si>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</si>
  <si>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</si>
  <si>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</si>
  <si>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</si>
  <si>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</si>
  <si>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</si>
  <si>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</si>
  <si>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</si>
  <si>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</si>
  <si>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</si>
  <si>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</si>
  <si>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</si>
  <si>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</si>
  <si>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</si>
  <si>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</si>
  <si>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</si>
  <si>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</si>
  <si>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</si>
  <si>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</si>
  <si>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</si>
  <si>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</si>
  <si>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</si>
  <si>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</si>
  <si>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</si>
  <si>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</si>
  <si>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</si>
  <si>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</si>
  <si>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</si>
  <si>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</si>
  <si>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</si>
  <si>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</si>
  <si>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</si>
  <si>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</si>
  <si>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</si>
  <si>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</si>
  <si>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</si>
  <si>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</si>
  <si>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</si>
  <si>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</si>
  <si>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</si>
  <si>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</si>
  <si>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</si>
  <si>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</si>
  <si>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</si>
  <si>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</si>
  <si>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</si>
  <si>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</si>
  <si>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</si>
  <si>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</si>
  <si>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</si>
  <si>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</si>
  <si>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</si>
  <si>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</si>
  <si>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</si>
  <si>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</si>
  <si>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</si>
  <si>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</si>
  <si>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</si>
  <si>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</si>
  <si>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</si>
  <si>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</si>
  <si>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</si>
  <si>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</si>
  <si>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</si>
  <si>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</si>
  <si>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</si>
  <si>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</si>
  <si>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</si>
  <si>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</si>
  <si>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</si>
  <si>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</si>
  <si>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</si>
  <si>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</si>
  <si>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</si>
  <si>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</si>
  <si>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</si>
  <si>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</si>
  <si>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</si>
  <si>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</si>
  <si>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</si>
  <si>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</si>
  <si>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</si>
  <si>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</si>
  <si>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</si>
  <si>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</si>
  <si>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</si>
  <si>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</si>
  <si>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</si>
  <si>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</si>
  <si>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</si>
  <si>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</si>
  <si>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</si>
  <si>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</si>
  <si>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</si>
  <si>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</si>
  <si>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</si>
  <si>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</si>
  <si>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</si>
  <si>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</si>
  <si>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</si>
  <si>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</si>
  <si>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</si>
  <si>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</si>
  <si>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</si>
  <si>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</si>
  <si>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</si>
  <si>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</si>
  <si>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</si>
  <si>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</si>
  <si>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</si>
  <si>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</si>
  <si>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</si>
  <si>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</si>
  <si>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</si>
  <si>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</si>
  <si>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</si>
  <si>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</si>
  <si>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</si>
  <si>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</si>
  <si>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</si>
  <si>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</si>
  <si>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</si>
  <si>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</si>
  <si>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</si>
  <si>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</si>
  <si>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</si>
  <si>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</si>
  <si>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</si>
  <si>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</si>
  <si>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</si>
  <si>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</si>
  <si>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</si>
  <si>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</si>
  <si>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</si>
  <si>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</si>
  <si>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</si>
  <si>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</si>
  <si>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</si>
  <si>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</si>
  <si>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</si>
  <si>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</si>
  <si>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</si>
  <si>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</si>
  <si>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</si>
  <si>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</si>
  <si>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</si>
  <si>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</si>
  <si>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</si>
  <si>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</si>
  <si>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</si>
  <si>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</si>
  <si>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</si>
  <si>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</si>
  <si>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</si>
  <si>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</si>
  <si>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</si>
  <si>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</si>
  <si>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</si>
  <si>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</si>
  <si>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</si>
  <si>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</si>
  <si>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</si>
  <si>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</si>
  <si>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</si>
  <si>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</si>
  <si>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</si>
  <si>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</si>
  <si>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</si>
  <si>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</si>
  <si>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</si>
  <si>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</si>
  <si>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</si>
  <si>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</si>
  <si>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</si>
  <si>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</si>
  <si>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</si>
  <si>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</si>
  <si>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</si>
  <si>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</si>
  <si>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</si>
  <si>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</si>
  <si>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</si>
  <si>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</si>
  <si>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</si>
  <si>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</si>
  <si>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</si>
  <si>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</si>
  <si>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</si>
  <si>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</si>
  <si>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</si>
  <si>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</si>
  <si>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</si>
  <si>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</si>
  <si>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</si>
  <si>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</si>
  <si>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</si>
  <si>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</si>
  <si>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</si>
  <si>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</si>
  <si>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</si>
  <si>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</si>
  <si>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</si>
  <si>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</si>
  <si>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</si>
  <si>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</si>
  <si>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</si>
  <si>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</si>
  <si>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</si>
  <si>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</si>
  <si>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</si>
  <si>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</si>
  <si>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</si>
  <si>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</si>
  <si>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</si>
  <si>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</si>
  <si>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</si>
  <si>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</si>
  <si>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</si>
  <si>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</si>
  <si>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</si>
  <si>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</si>
  <si>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</si>
  <si>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</si>
  <si>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</si>
  <si>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</si>
  <si>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</si>
  <si>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</si>
  <si>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</si>
  <si>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</si>
  <si>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</si>
  <si>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</si>
  <si>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</si>
  <si>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</si>
  <si>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</si>
  <si>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</si>
  <si>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</si>
  <si>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</si>
  <si>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</si>
  <si>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</si>
  <si>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</si>
  <si>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</si>
  <si>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</si>
  <si>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</si>
  <si>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</si>
  <si>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</si>
  <si>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</si>
  <si>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</si>
  <si>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</si>
  <si>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</si>
  <si>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</si>
  <si>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</si>
  <si>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</si>
  <si>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</si>
  <si>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</si>
  <si>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</si>
  <si>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</si>
  <si>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</si>
  <si>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</si>
  <si>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</si>
  <si>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</si>
  <si>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</si>
  <si>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</si>
  <si>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</si>
  <si>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</si>
  <si>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</si>
  <si>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</si>
  <si>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</si>
  <si>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</si>
  <si>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</si>
  <si>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</si>
  <si>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</si>
  <si>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</si>
  <si>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</si>
  <si>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</si>
  <si>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</si>
  <si>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</si>
  <si>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</si>
  <si>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</si>
  <si>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</si>
  <si>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</si>
  <si>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</si>
  <si>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</si>
  <si>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</si>
  <si>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</si>
  <si>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</si>
  <si>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</si>
  <si>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</si>
  <si>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</si>
  <si>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</si>
  <si>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</si>
  <si>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</si>
  <si>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</si>
  <si>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</si>
  <si>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</si>
  <si>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</si>
  <si>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</si>
  <si>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</si>
  <si>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</si>
  <si>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</si>
  <si>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</si>
  <si>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</si>
  <si>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</si>
  <si>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</si>
  <si>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</si>
  <si>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</si>
  <si>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</si>
  <si>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</si>
  <si>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</si>
  <si>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</si>
  <si>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</si>
  <si>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</si>
  <si>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</si>
  <si>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</si>
  <si>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</si>
  <si>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</si>
  <si>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</si>
  <si>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</si>
  <si>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</si>
  <si>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</si>
  <si>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</si>
  <si>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</si>
  <si>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</si>
  <si>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</si>
  <si>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</si>
  <si>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</si>
  <si>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</si>
  <si>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</si>
  <si>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</si>
  <si>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</si>
  <si>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</si>
  <si>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</si>
  <si>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</si>
  <si>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</si>
  <si>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</si>
  <si>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</si>
  <si>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</si>
  <si>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</si>
  <si>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</si>
  <si>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</si>
  <si>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</si>
  <si>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</si>
  <si>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</si>
  <si>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</si>
  <si>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</si>
  <si>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</si>
  <si>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</si>
  <si>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</si>
  <si>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</si>
  <si>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</si>
  <si>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</si>
  <si>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</si>
  <si>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</si>
  <si>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</si>
  <si>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</si>
  <si>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</si>
  <si>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</si>
  <si>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</si>
  <si>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</si>
  <si>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</si>
  <si>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</si>
  <si>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</si>
  <si>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</si>
  <si>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</si>
  <si>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</si>
  <si>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</si>
  <si>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</si>
  <si>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</si>
  <si>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</si>
  <si>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</si>
  <si>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</si>
  <si>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</si>
  <si>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</si>
  <si>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</si>
  <si>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</si>
  <si>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</si>
  <si>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</si>
  <si>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</si>
  <si>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</si>
  <si>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</si>
  <si>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</si>
  <si>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</si>
  <si>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</si>
  <si>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</si>
  <si>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</si>
  <si>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</si>
  <si>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</si>
  <si>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</si>
  <si>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</si>
  <si>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</si>
  <si>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</si>
  <si>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</si>
  <si>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</si>
  <si>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</si>
  <si>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</si>
  <si>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</si>
  <si>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</si>
  <si>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</si>
  <si>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</si>
  <si>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</si>
  <si>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</si>
  <si>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</si>
  <si>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</si>
  <si>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</si>
  <si>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</si>
  <si>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</si>
  <si>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</si>
  <si>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</si>
  <si>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</si>
  <si>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</si>
  <si>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</si>
  <si>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</si>
  <si>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</si>
  <si>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</si>
  <si>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</si>
  <si>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</si>
  <si>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</si>
  <si>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</si>
  <si>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</si>
  <si>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</si>
  <si>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</si>
  <si>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</si>
  <si>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</si>
  <si>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</si>
  <si>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</si>
  <si>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</si>
  <si>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</si>
  <si>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</si>
  <si>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</si>
  <si>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</si>
  <si>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</si>
  <si>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</si>
  <si>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</si>
  <si>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</si>
  <si>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</si>
  <si>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</si>
  <si>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</si>
  <si>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</si>
  <si>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</si>
  <si>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</si>
  <si>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</si>
  <si>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</si>
  <si>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</si>
  <si>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</si>
  <si>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</si>
  <si>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</si>
  <si>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</si>
  <si>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</si>
  <si>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</si>
  <si>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</si>
  <si>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</si>
  <si>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</si>
  <si>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</si>
  <si>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</si>
  <si>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</si>
  <si>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</si>
  <si>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</si>
  <si>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</si>
  <si>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</si>
  <si>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</si>
  <si>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</si>
  <si>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</si>
  <si>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</si>
  <si>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</si>
  <si>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</si>
  <si>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</si>
  <si>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</si>
  <si>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</si>
  <si>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</si>
  <si>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</si>
  <si>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</si>
  <si>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</si>
  <si>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</si>
  <si>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</si>
  <si>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</si>
  <si>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</si>
  <si>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</si>
  <si>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</si>
  <si>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</si>
  <si>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</si>
  <si>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</si>
  <si>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</si>
  <si>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</si>
  <si>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</si>
  <si>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</si>
  <si>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</si>
  <si>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</si>
  <si>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</si>
  <si>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</si>
  <si>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</si>
  <si>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</si>
  <si>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</si>
  <si>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</si>
  <si>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</si>
  <si>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</si>
  <si>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</si>
  <si>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</si>
  <si>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</si>
  <si>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</si>
  <si>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</si>
  <si>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</si>
  <si>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</si>
  <si>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</si>
  <si>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</si>
  <si>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</si>
  <si>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</si>
  <si>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</si>
  <si>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</si>
  <si>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</si>
  <si>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</si>
  <si>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</si>
  <si>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</si>
  <si>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</si>
  <si>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</si>
  <si>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</si>
  <si>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</si>
  <si>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</si>
  <si>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</si>
  <si>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</si>
  <si>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</si>
  <si>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</si>
  <si>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</si>
  <si>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</si>
  <si>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</si>
  <si>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</si>
  <si>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</si>
  <si>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</si>
  <si>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</si>
  <si>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</si>
  <si>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</si>
  <si>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</si>
  <si>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</si>
  <si>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</si>
  <si>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</si>
  <si>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</si>
  <si>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</si>
  <si>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</si>
  <si>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</si>
  <si>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</si>
  <si>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</si>
  <si>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</si>
  <si>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</si>
  <si>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</si>
  <si>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</si>
  <si>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</si>
  <si>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</si>
  <si>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</si>
  <si>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</si>
  <si>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</si>
  <si>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</si>
  <si>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</si>
  <si>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</si>
  <si>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</si>
  <si>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</si>
  <si>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</si>
  <si>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</si>
  <si>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</si>
  <si>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</si>
  <si>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</si>
  <si>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</si>
  <si>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</si>
  <si>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</si>
  <si>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</si>
  <si>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</si>
  <si>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</si>
  <si>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</si>
  <si>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</si>
  <si>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</si>
  <si>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</si>
  <si>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</si>
  <si>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</si>
  <si>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</si>
  <si>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</si>
  <si>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</si>
  <si>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</si>
  <si>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</si>
  <si>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</si>
  <si>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</si>
  <si>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</si>
  <si>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</si>
  <si>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</si>
  <si>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</si>
  <si>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</si>
  <si>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</si>
  <si>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</si>
  <si>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</si>
  <si>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</si>
  <si>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</si>
  <si>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</si>
  <si>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</si>
  <si>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</si>
  <si>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</si>
  <si>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</si>
  <si>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</si>
  <si>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</si>
  <si>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</si>
  <si>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</si>
  <si>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</si>
  <si>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</si>
  <si>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</si>
  <si>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</si>
  <si>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</si>
  <si>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</si>
  <si>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</si>
  <si>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</si>
  <si>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</si>
  <si>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</si>
  <si>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</si>
  <si>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</si>
  <si>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</si>
  <si>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</si>
  <si>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</si>
  <si>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</si>
  <si>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</si>
  <si>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</si>
  <si>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</si>
  <si>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</si>
  <si>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</si>
  <si>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</si>
  <si>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</si>
  <si>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</si>
  <si>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</si>
  <si>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</si>
  <si>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</si>
  <si>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</si>
  <si>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</si>
  <si>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</si>
  <si>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</si>
  <si>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</si>
  <si>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</si>
  <si>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</si>
  <si>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</si>
  <si>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</si>
  <si>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</si>
  <si>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</si>
  <si>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</si>
  <si>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</si>
  <si>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</si>
  <si>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</si>
  <si>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</si>
  <si>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</si>
  <si>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</si>
  <si>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</si>
  <si>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</si>
  <si>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</si>
  <si>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</si>
  <si>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</si>
  <si>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</si>
  <si>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</si>
  <si>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</si>
  <si>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</si>
  <si>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</si>
  <si>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</si>
  <si>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</si>
  <si>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</si>
  <si>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</si>
  <si>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</si>
  <si>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</si>
  <si>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</si>
  <si>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</si>
  <si>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</si>
  <si>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</si>
  <si>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</si>
  <si>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</si>
  <si>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</si>
  <si>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</si>
  <si>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</si>
  <si>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</si>
  <si>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</si>
  <si>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</si>
  <si>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</si>
  <si>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</si>
  <si>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</si>
  <si>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</si>
  <si>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</si>
  <si>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</si>
  <si>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</si>
  <si>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</si>
  <si>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</si>
  <si>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</si>
  <si>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</si>
  <si>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</si>
  <si>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</si>
  <si>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</si>
  <si>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</si>
  <si>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</si>
  <si>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</si>
  <si>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</si>
  <si>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</si>
  <si>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</si>
  <si>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</si>
  <si>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</si>
  <si>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</si>
  <si>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</si>
  <si>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</si>
  <si>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</si>
  <si>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</si>
  <si>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</si>
  <si>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</si>
  <si>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</si>
  <si>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</si>
  <si>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</si>
  <si>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</si>
  <si>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</si>
  <si>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</si>
  <si>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</si>
  <si>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</si>
  <si>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</si>
  <si>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</si>
  <si>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</si>
  <si>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</si>
  <si>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</si>
  <si>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</si>
  <si>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</si>
  <si>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</si>
  <si>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</si>
  <si>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</si>
  <si>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</si>
  <si>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</si>
  <si>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</si>
  <si>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</si>
  <si>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</si>
  <si>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</si>
  <si>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</si>
  <si>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</si>
  <si>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</si>
  <si>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</si>
  <si>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</si>
  <si>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</si>
  <si>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</si>
  <si>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</si>
  <si>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</si>
  <si>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</si>
  <si>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</si>
  <si>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</si>
  <si>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</si>
  <si>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</si>
  <si>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</si>
  <si>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</si>
  <si>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</si>
  <si>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</si>
  <si>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</si>
  <si>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</si>
  <si>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</si>
  <si>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</si>
  <si>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</si>
  <si>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</si>
  <si>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</si>
  <si>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</si>
  <si>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</si>
  <si>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</si>
  <si>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</si>
  <si>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</si>
  <si>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</si>
  <si>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</si>
  <si>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</si>
  <si>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</si>
  <si>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</si>
  <si>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</si>
  <si>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</si>
  <si>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</si>
  <si>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</si>
  <si>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</si>
  <si>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</si>
  <si>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</si>
  <si>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</si>
  <si>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</si>
  <si>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</si>
  <si>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</si>
  <si>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</si>
  <si>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</si>
  <si>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</si>
  <si>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</si>
  <si>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</si>
  <si>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</si>
  <si>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</si>
  <si>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</si>
  <si>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</si>
  <si>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</si>
  <si>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</si>
  <si>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</si>
  <si>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</si>
  <si>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</si>
  <si>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</si>
  <si>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</si>
  <si>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</si>
  <si>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</si>
  <si>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</si>
  <si>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</si>
  <si>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</si>
  <si>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</si>
  <si>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</si>
  <si>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</si>
  <si>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</si>
  <si>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</si>
  <si>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</si>
  <si>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Vintage Housing Holdings, LLC </t>
  </si>
  <si>
    <t xml:space="preserve">707 Broadway </t>
  </si>
  <si>
    <t xml:space="preserve">San Diego </t>
  </si>
  <si>
    <t>369 San Miguel Drive, Suite 135</t>
  </si>
  <si>
    <t xml:space="preserve">Newport Beach </t>
  </si>
  <si>
    <t>CA</t>
  </si>
  <si>
    <t xml:space="preserve">Michael Gancar </t>
  </si>
  <si>
    <t>(949) 721-6775</t>
  </si>
  <si>
    <t>mgancar@vintagehousing.com</t>
  </si>
  <si>
    <t xml:space="preserve">Sabelhaus &amp; Strain PC </t>
  </si>
  <si>
    <t>1724 10th Street, Suite 110</t>
  </si>
  <si>
    <t xml:space="preserve">Stephen Strain </t>
  </si>
  <si>
    <t>Vintage Housing Development, Inc</t>
  </si>
  <si>
    <t>3569 San Miguel Drive, Suite 135</t>
  </si>
  <si>
    <t>Newport Beach, CA 92660</t>
  </si>
  <si>
    <t>(916) 444-0286</t>
  </si>
  <si>
    <t>Sacramento, CA 95811</t>
  </si>
  <si>
    <t>Stephen Strain</t>
  </si>
  <si>
    <t>sstrain@sabelhauslaw.com</t>
  </si>
  <si>
    <t>Novogradac Consulting LLP</t>
  </si>
  <si>
    <t>3780 Kilroy Airport Way, Suite 330</t>
  </si>
  <si>
    <t>Long Beach, CA 90806</t>
  </si>
  <si>
    <t xml:space="preserve">Lindsey Hannon </t>
  </si>
  <si>
    <t>(512) 349-3212</t>
  </si>
  <si>
    <t xml:space="preserve">StK :a, Inc. </t>
  </si>
  <si>
    <t xml:space="preserve">20 Corporate Park, Suite 190 </t>
  </si>
  <si>
    <t>Irvine, CA 92606</t>
  </si>
  <si>
    <t>Soong Thomas Kim</t>
  </si>
  <si>
    <t>(949) 444-6869</t>
  </si>
  <si>
    <t>Lindsey Hannon</t>
  </si>
  <si>
    <t>FPI Management Corporation</t>
  </si>
  <si>
    <t>800 Iron Point Road</t>
  </si>
  <si>
    <t>Folsom, CA 95630</t>
  </si>
  <si>
    <t>Dennis Treadaway</t>
  </si>
  <si>
    <t>(916) 357-5300</t>
  </si>
  <si>
    <t>(916) 357-5310</t>
  </si>
  <si>
    <t>Inner City Infill Site</t>
  </si>
  <si>
    <t xml:space="preserve">Other: Cost Certification </t>
  </si>
  <si>
    <t>Other: Inspection</t>
  </si>
  <si>
    <t>Other: Legal and Accounting Fees</t>
  </si>
  <si>
    <t>Vintage Housing Holdings, LLC</t>
  </si>
  <si>
    <t>Newport Beach</t>
  </si>
  <si>
    <t>Michael Gancar</t>
  </si>
  <si>
    <t>949-721-6775</t>
  </si>
  <si>
    <t>Administrative GP</t>
  </si>
  <si>
    <t>Attorney / Consultant</t>
  </si>
  <si>
    <t>Supplies</t>
  </si>
  <si>
    <t>Telephone + Supplies</t>
  </si>
  <si>
    <t>Managing GP</t>
  </si>
  <si>
    <t>Hearthstone Housing Foundation</t>
  </si>
  <si>
    <t>Hearthstone/PWC JV, LLC</t>
  </si>
  <si>
    <t>1401 Dove Street, Suite 620</t>
  </si>
  <si>
    <t>Socorro Vasquez</t>
  </si>
  <si>
    <t>949-553-9447</t>
  </si>
  <si>
    <t>coco@hearthstonehousing.org</t>
  </si>
  <si>
    <t xml:space="preserve">Limited Liability Company </t>
  </si>
  <si>
    <t>CCPD-NC (Center City Planned Distrcit - Neighborhood Mixed-Use Corridor)</t>
  </si>
  <si>
    <t>Hearthstone/PWC JV LLC</t>
  </si>
  <si>
    <t>Recycled Bonds</t>
  </si>
  <si>
    <t>Other:Borrower Counsel + Hearthstone Fees / Attorney</t>
  </si>
  <si>
    <t>Other: Organization &amp; Construction Accounting</t>
  </si>
  <si>
    <t>Storage, Parking,  Cable (Rev Share), Other</t>
  </si>
  <si>
    <t>September</t>
  </si>
  <si>
    <t>Manager of Vintage Housing Holdings, LLC</t>
  </si>
  <si>
    <t>San Diego Housing Commission / City of San Diego</t>
  </si>
  <si>
    <t>Colin Miller</t>
  </si>
  <si>
    <t>Vice President Multihousing Finance</t>
  </si>
  <si>
    <t>1122 Broadway, Suite 300</t>
  </si>
  <si>
    <t>619-578-7659</t>
  </si>
  <si>
    <t>619-578-7356</t>
  </si>
  <si>
    <t>colinm@sdhc.org</t>
  </si>
  <si>
    <t>Taxable Construction Loan</t>
  </si>
  <si>
    <t>Costs of Issuance</t>
  </si>
  <si>
    <t>707 by Vintage</t>
  </si>
  <si>
    <t>skim@stkarch.com</t>
  </si>
  <si>
    <t>TBD</t>
  </si>
  <si>
    <t>R4 Capital LLC</t>
  </si>
  <si>
    <t>895 Dove Street, Suite 475</t>
  </si>
  <si>
    <t>Cory Bannister</t>
  </si>
  <si>
    <t>949-438-1055</t>
  </si>
  <si>
    <t>cbannister@r4cap.com</t>
  </si>
  <si>
    <t>Bernard E. Rea</t>
  </si>
  <si>
    <t>PO Box 492</t>
  </si>
  <si>
    <t>Aubrey, TX 76227</t>
  </si>
  <si>
    <t>Bernie Rea</t>
  </si>
  <si>
    <t>209-933-9113</t>
  </si>
  <si>
    <t>breacpa@aol.com</t>
  </si>
  <si>
    <t>California Municipal Finance Authority</t>
  </si>
  <si>
    <t>2111 Palomar Road, Suite 320</t>
  </si>
  <si>
    <t>Carlsbad, CA 92011</t>
  </si>
  <si>
    <t>Benjamin Barker</t>
  </si>
  <si>
    <t>760-930-1266</t>
  </si>
  <si>
    <t>bbarker@cmfa-ca.com</t>
  </si>
  <si>
    <t>Provided</t>
  </si>
  <si>
    <t>Not Applicable</t>
  </si>
  <si>
    <t>Secured by Fee Interest</t>
  </si>
  <si>
    <t>Multiple Use</t>
  </si>
  <si>
    <t xml:space="preserve">325 E Hillcrest Drive, Suite 160 </t>
  </si>
  <si>
    <t>Thousand Oaks</t>
  </si>
  <si>
    <t>Mike Hemmens</t>
  </si>
  <si>
    <t>805-557-0933</t>
  </si>
  <si>
    <t xml:space="preserve">Tax-Exempt Connstruction Loan </t>
  </si>
  <si>
    <t>895 Dove Street, Suite 450</t>
  </si>
  <si>
    <t>Michael K. Gancar</t>
  </si>
  <si>
    <t>Tax Exempt Permanent Loan</t>
  </si>
  <si>
    <t xml:space="preserve">NOI During Construction </t>
  </si>
  <si>
    <t>Owner Paid</t>
  </si>
  <si>
    <t>Taxes + Benefits</t>
  </si>
  <si>
    <t>Inspections</t>
  </si>
  <si>
    <t>40%/60% Average Income</t>
  </si>
  <si>
    <t>Citibank, N.A.</t>
  </si>
  <si>
    <t>R4 Capital</t>
  </si>
  <si>
    <t>Low Income Housing Tax Credit Equity</t>
  </si>
  <si>
    <t>325 E. Hillcrest Drive, Suite 160</t>
  </si>
  <si>
    <t>Recycled Tax-Exempt Construction Loan</t>
  </si>
  <si>
    <t>Micheal K. Gancar</t>
  </si>
  <si>
    <t>Deferred Reserves</t>
  </si>
  <si>
    <t>NOI during construction</t>
  </si>
  <si>
    <t>Vintage Housing Development, Inc.</t>
  </si>
  <si>
    <t>Fixed</t>
  </si>
  <si>
    <t>Above residual receipts line for cash flow</t>
  </si>
  <si>
    <t>534-322-02-00</t>
  </si>
  <si>
    <t>Vintage Housing Holdings,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</si>
</sst>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168" fontId="0" fillId="0" borderId="11" xfId="0" applyNumberFormat="1" applyBorder="1" applyAlignment="1">
      <alignment horizontal="right"/>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8" fontId="0" fillId="0" borderId="11" xfId="0" applyNumberFormat="1" applyBorder="1" applyAlignment="1">
      <alignment horizontal="center"/>
    </xf>
    <xf numFmtId="0" fontId="24" fillId="0" borderId="11" xfId="0" applyFont="1" applyBorder="1" applyAlignment="1">
      <alignment horizontal="center"/>
    </xf>
    <xf numFmtId="168" fontId="0" fillId="5" borderId="3"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9" fontId="17" fillId="0" borderId="0" xfId="543" applyNumberFormat="1" applyAlignment="1">
      <alignment horizontal="center" vertic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68" fontId="26" fillId="0" borderId="3" xfId="0" applyNumberFormat="1" applyFont="1" applyBorder="1" applyAlignment="1">
      <alignment horizontal="left" vertical="top"/>
    </xf>
    <xf numFmtId="10"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7" fillId="5" borderId="11" xfId="0" applyFont="1" applyFill="1" applyBorder="1" applyAlignment="1" applyProtection="1">
      <alignment vertical="center" wrapText="1"/>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3" fontId="26" fillId="5" borderId="11" xfId="0" applyNumberFormat="1" applyFont="1" applyFill="1" applyBorder="1" applyAlignment="1" applyProtection="1">
      <alignment horizontal="center"/>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6" fillId="0" borderId="11" xfId="0" applyNumberFormat="1" applyFont="1" applyBorder="1" applyAlignment="1">
      <alignment horizontal="center"/>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4" fillId="0" borderId="6" xfId="0" applyFont="1" applyBorder="1" applyAlignment="1">
      <alignment horizontal="right"/>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17" fillId="5" borderId="11" xfId="0" applyFont="1" applyFill="1" applyBorder="1" applyAlignment="1" applyProtection="1">
      <alignment horizontal="left" wrapText="1"/>
      <protection locked="0"/>
    </xf>
    <xf numFmtId="0" fontId="0" fillId="0" borderId="6" xfId="0"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168"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4" fontId="26" fillId="5" borderId="4" xfId="0" applyNumberFormat="1" applyFont="1"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0" fillId="5" borderId="0" xfId="0" applyFill="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3" fontId="0" fillId="0" borderId="6" xfId="0" applyNumberFormat="1" applyBorder="1" applyAlignment="1">
      <alignment horizontal="right"/>
    </xf>
    <xf numFmtId="0" fontId="1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0" fontId="26" fillId="0" borderId="6" xfId="0" applyFont="1" applyBorder="1" applyAlignment="1">
      <alignment horizontal="left"/>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3" fillId="3" borderId="0" xfId="0" applyFont="1" applyFill="1" applyAlignment="1">
      <alignment horizontal="center" vertical="center"/>
    </xf>
    <xf numFmtId="166" fontId="26" fillId="5" borderId="6" xfId="271" applyNumberFormat="1" applyFill="1" applyBorder="1" applyAlignment="1" applyProtection="1">
      <alignment horizontal="left"/>
      <protection locked="0"/>
    </xf>
    <xf numFmtId="0" fontId="17" fillId="43" borderId="6" xfId="0" applyFont="1" applyFill="1" applyBorder="1" applyAlignment="1" applyProtection="1">
      <alignment vertical="center"/>
      <protection locked="0"/>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17" fillId="5" borderId="6" xfId="0" applyFont="1" applyFill="1" applyBorder="1" applyAlignment="1" applyProtection="1">
      <alignment horizontal="left" wrapText="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6" xfId="0" applyBorder="1" applyAlignment="1" applyProtection="1">
      <alignment horizontal="center"/>
      <protection locked="0"/>
    </xf>
    <xf numFmtId="0" fontId="24" fillId="0" borderId="6" xfId="0" applyFont="1" applyBorder="1" applyAlignment="1">
      <alignment horizontal="center"/>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6" fillId="5" borderId="4" xfId="0" applyFont="1" applyFill="1" applyBorder="1" applyAlignment="1" applyProtection="1">
      <alignment wrapText="1"/>
      <protection locked="0"/>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26" fillId="0" borderId="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6" xfId="271" applyFill="1" applyBorder="1" applyProtection="1">
      <protection locked="0"/>
    </xf>
    <xf numFmtId="0" fontId="26" fillId="0" borderId="1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4" fillId="5"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0" fontId="24" fillId="0" borderId="2" xfId="0" applyFont="1" applyBorder="1" applyAlignment="1">
      <alignment horizontal="right"/>
    </xf>
    <xf numFmtId="0" fontId="24" fillId="0" borderId="7" xfId="0" applyFont="1" applyBorder="1" applyAlignment="1">
      <alignment horizontal="right"/>
    </xf>
    <xf numFmtId="3" fontId="0" fillId="5" borderId="3" xfId="0" applyNumberFormat="1" applyFill="1" applyBorder="1" applyAlignment="1" applyProtection="1">
      <alignment horizontal="right"/>
      <protection locked="0"/>
    </xf>
    <xf numFmtId="0" fontId="26"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7" fillId="5" borderId="11" xfId="0" applyFont="1" applyFill="1" applyBorder="1" applyAlignment="1" applyProtection="1">
      <alignment horizontal="left" vertical="center"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xf>
    <xf numFmtId="0" fontId="24" fillId="0" borderId="11" xfId="0" applyFont="1" applyBorder="1" applyAlignment="1">
      <alignment horizontal="center"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12" xfId="0" applyFont="1" applyBorder="1" applyAlignment="1">
      <alignment horizontal="center" wrapText="1"/>
    </xf>
    <xf numFmtId="0" fontId="24" fillId="0" borderId="9" xfId="0" applyFont="1" applyBorder="1" applyAlignment="1">
      <alignment horizontal="center" wrapText="1"/>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6" fillId="0" borderId="3" xfId="0" applyFont="1" applyBorder="1" applyAlignment="1">
      <alignment horizontal="left"/>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1"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43" borderId="11" xfId="0" applyFont="1" applyFill="1" applyBorder="1" applyAlignment="1" applyProtection="1">
      <alignment horizontal="center"/>
      <protection locked="0"/>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168" fontId="17" fillId="0" borderId="11" xfId="543" applyNumberFormat="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9" fontId="0" fillId="5" borderId="3" xfId="0" applyNumberFormat="1" applyFill="1" applyBorder="1" applyAlignment="1" applyProtection="1">
      <alignment horizontal="righ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DA9A47DD-24D2-4359-A9D7-495FA8AF6F85}"/>
    <cellStyle name="20% - Accent1 11" xfId="8736" xr:uid="{581E3D1C-58B2-4BC4-81C4-33969D520005}"/>
    <cellStyle name="20% - Accent1 2" xfId="2" xr:uid="{00000000-0005-0000-0000-000002000000}"/>
    <cellStyle name="20% - Accent1 2 10" xfId="8737" xr:uid="{F12F656F-9420-455E-9678-BB838ECED6F5}"/>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A842E5DF-A073-4F73-A302-537C30E9C616}"/>
    <cellStyle name="20% - Accent1 2 2 2 2 2 3" xfId="11298" xr:uid="{8AF18536-A2BD-4B94-85AC-2814245DFC32}"/>
    <cellStyle name="20% - Accent1 2 2 2 2 3" xfId="4921" xr:uid="{00000000-0005-0000-0000-000008000000}"/>
    <cellStyle name="20% - Accent1 2 2 2 2 3 2" xfId="13371" xr:uid="{60102FAF-8609-4295-BFE6-9ED014F0D464}"/>
    <cellStyle name="20% - Accent1 2 2 2 2 4" xfId="9153" xr:uid="{B66B2D64-E188-4522-B737-DDC4FAD43A66}"/>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23249237-3A63-408C-8676-48A2A6C96DA5}"/>
    <cellStyle name="20% - Accent1 2 2 2 3 2 3" xfId="11711" xr:uid="{B6C7AD4A-4035-461B-BC7B-F051F99541C4}"/>
    <cellStyle name="20% - Accent1 2 2 2 3 3" xfId="5334" xr:uid="{00000000-0005-0000-0000-00000C000000}"/>
    <cellStyle name="20% - Accent1 2 2 2 3 3 2" xfId="13784" xr:uid="{D28FC03A-5814-4B2F-8B40-6F12F7F54295}"/>
    <cellStyle name="20% - Accent1 2 2 2 3 4" xfId="9566" xr:uid="{48E73B57-B634-4E79-BDA7-3F0863F932E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5C68E39D-DAC1-4EC9-8513-82A3DB65F717}"/>
    <cellStyle name="20% - Accent1 2 2 2 4 2 3" xfId="12124" xr:uid="{49AAC7D3-DE99-475F-A080-04B8570D55A7}"/>
    <cellStyle name="20% - Accent1 2 2 2 4 3" xfId="5747" xr:uid="{00000000-0005-0000-0000-000010000000}"/>
    <cellStyle name="20% - Accent1 2 2 2 4 3 2" xfId="14197" xr:uid="{0DD24446-8FBD-47B8-B7DB-E33872F582E4}"/>
    <cellStyle name="20% - Accent1 2 2 2 4 4" xfId="9979" xr:uid="{01D14E4C-5698-45FA-B19B-E6ABE1DAA58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084904EE-402B-411F-B877-6B1F63EABD3F}"/>
    <cellStyle name="20% - Accent1 2 2 2 5 2 3" xfId="12537" xr:uid="{73C4F7B4-04A8-4715-B37B-E0530D7C964E}"/>
    <cellStyle name="20% - Accent1 2 2 2 5 3" xfId="6160" xr:uid="{00000000-0005-0000-0000-000014000000}"/>
    <cellStyle name="20% - Accent1 2 2 2 5 3 2" xfId="14610" xr:uid="{E5DE7C68-62E8-48E0-B19F-449FDE018A17}"/>
    <cellStyle name="20% - Accent1 2 2 2 5 4" xfId="10392" xr:uid="{4BEF9799-07D4-46C2-BB46-C1504EA1CA8A}"/>
    <cellStyle name="20% - Accent1 2 2 2 6" xfId="2267" xr:uid="{00000000-0005-0000-0000-000015000000}"/>
    <cellStyle name="20% - Accent1 2 2 2 6 2" xfId="6573" xr:uid="{00000000-0005-0000-0000-000016000000}"/>
    <cellStyle name="20% - Accent1 2 2 2 6 2 2" xfId="15023" xr:uid="{5F93C4E0-F541-42BC-A068-1387068F65B8}"/>
    <cellStyle name="20% - Accent1 2 2 2 6 3" xfId="10805" xr:uid="{42633887-00E5-49C8-A738-47241D149A09}"/>
    <cellStyle name="20% - Accent1 2 2 2 7" xfId="4507" xr:uid="{00000000-0005-0000-0000-000017000000}"/>
    <cellStyle name="20% - Accent1 2 2 2 7 2" xfId="12957" xr:uid="{4B86B6B6-2DB4-4CBC-B9FC-6E6279D9C986}"/>
    <cellStyle name="20% - Accent1 2 2 2 8" xfId="8739" xr:uid="{045FFC24-EBE5-46C4-B49E-53A18EFBA9F0}"/>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6BFC108F-4D92-4BD7-A19E-AA223B601A67}"/>
    <cellStyle name="20% - Accent1 2 2 3 2 3" xfId="11297" xr:uid="{73255BF6-BCCA-49AF-806C-48AF3DD18A17}"/>
    <cellStyle name="20% - Accent1 2 2 3 3" xfId="4920" xr:uid="{00000000-0005-0000-0000-00001B000000}"/>
    <cellStyle name="20% - Accent1 2 2 3 3 2" xfId="13370" xr:uid="{71AE6B52-6715-44C8-9740-6FB055BC380B}"/>
    <cellStyle name="20% - Accent1 2 2 3 4" xfId="9152" xr:uid="{6DB4E172-CF41-44B5-A482-3DF59BE060B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BB70E52D-22B7-4CE5-B938-B4FD26D76844}"/>
    <cellStyle name="20% - Accent1 2 2 4 2 3" xfId="11710" xr:uid="{7A7052DB-3C8B-405E-B115-D161336F27A8}"/>
    <cellStyle name="20% - Accent1 2 2 4 3" xfId="5333" xr:uid="{00000000-0005-0000-0000-00001F000000}"/>
    <cellStyle name="20% - Accent1 2 2 4 3 2" xfId="13783" xr:uid="{E29FA4A9-FBE6-4FF1-BD8A-55381668EEC1}"/>
    <cellStyle name="20% - Accent1 2 2 4 4" xfId="9565" xr:uid="{EE3D8B7D-1569-43B0-A2DE-4589D61F49A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5612E3C9-76FB-4E1D-B095-0A89389771F2}"/>
    <cellStyle name="20% - Accent1 2 2 5 2 3" xfId="12123" xr:uid="{1377106E-58F1-45A5-97C7-6BF3517ACFC3}"/>
    <cellStyle name="20% - Accent1 2 2 5 3" xfId="5746" xr:uid="{00000000-0005-0000-0000-000023000000}"/>
    <cellStyle name="20% - Accent1 2 2 5 3 2" xfId="14196" xr:uid="{7E0551B9-D8F7-471C-B5C0-1A86C9733B88}"/>
    <cellStyle name="20% - Accent1 2 2 5 4" xfId="9978" xr:uid="{99558ABD-1AF9-42AD-A198-7DA37512A97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0EB6DD24-754D-4C1D-B47B-A6FB2D1F2F14}"/>
    <cellStyle name="20% - Accent1 2 2 6 2 3" xfId="12536" xr:uid="{4665F458-DE6F-4F16-ADD0-BBDF8062CDF0}"/>
    <cellStyle name="20% - Accent1 2 2 6 3" xfId="6159" xr:uid="{00000000-0005-0000-0000-000027000000}"/>
    <cellStyle name="20% - Accent1 2 2 6 3 2" xfId="14609" xr:uid="{46775BB8-5DA9-4F84-84BD-25C715FD441B}"/>
    <cellStyle name="20% - Accent1 2 2 6 4" xfId="10391" xr:uid="{F068C17F-AC21-43C2-B8E7-BED0340510F6}"/>
    <cellStyle name="20% - Accent1 2 2 7" xfId="2266" xr:uid="{00000000-0005-0000-0000-000028000000}"/>
    <cellStyle name="20% - Accent1 2 2 7 2" xfId="6572" xr:uid="{00000000-0005-0000-0000-000029000000}"/>
    <cellStyle name="20% - Accent1 2 2 7 2 2" xfId="15022" xr:uid="{62CD3F7A-888F-4683-8D07-AB2DEDA2439B}"/>
    <cellStyle name="20% - Accent1 2 2 7 3" xfId="10804" xr:uid="{43EC2DA9-12CA-4FC6-974E-0B35B89C7F6E}"/>
    <cellStyle name="20% - Accent1 2 2 8" xfId="4506" xr:uid="{00000000-0005-0000-0000-00002A000000}"/>
    <cellStyle name="20% - Accent1 2 2 8 2" xfId="12956" xr:uid="{0F9EAE03-743F-4BB9-8837-3A9148A2BDDB}"/>
    <cellStyle name="20% - Accent1 2 2 9" xfId="8738" xr:uid="{5FB83D46-D353-466E-81F6-272A7E15870E}"/>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0E321F2E-14E6-4BB0-ADE5-AB6166179F91}"/>
    <cellStyle name="20% - Accent1 2 3 2 2 3" xfId="11299" xr:uid="{038E5596-2017-4CC8-838D-99892A818134}"/>
    <cellStyle name="20% - Accent1 2 3 2 3" xfId="4922" xr:uid="{00000000-0005-0000-0000-00002F000000}"/>
    <cellStyle name="20% - Accent1 2 3 2 3 2" xfId="13372" xr:uid="{5769D23E-A8D6-4003-9746-832F02B52D02}"/>
    <cellStyle name="20% - Accent1 2 3 2 4" xfId="9154" xr:uid="{626A8077-55B2-45DF-8AD0-EB514199D528}"/>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B08D4DFA-7426-46C4-A9B8-15CEF0236E55}"/>
    <cellStyle name="20% - Accent1 2 3 3 2 3" xfId="11712" xr:uid="{128C2D96-B82A-4ED4-B542-3A8FF0FD730B}"/>
    <cellStyle name="20% - Accent1 2 3 3 3" xfId="5335" xr:uid="{00000000-0005-0000-0000-000033000000}"/>
    <cellStyle name="20% - Accent1 2 3 3 3 2" xfId="13785" xr:uid="{FDEE13AF-0D27-4FAB-8401-A7964173C234}"/>
    <cellStyle name="20% - Accent1 2 3 3 4" xfId="9567" xr:uid="{A02D4F8E-5661-43E3-A203-D4B51DE69125}"/>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AB5FDFC0-2EEA-47A1-87C4-22F07E62A093}"/>
    <cellStyle name="20% - Accent1 2 3 4 2 3" xfId="12125" xr:uid="{782B36C0-CAED-4C6A-A1D8-8231FE5352D6}"/>
    <cellStyle name="20% - Accent1 2 3 4 3" xfId="5748" xr:uid="{00000000-0005-0000-0000-000037000000}"/>
    <cellStyle name="20% - Accent1 2 3 4 3 2" xfId="14198" xr:uid="{6682270E-DB92-41D6-805E-C9F5F0E1AAFA}"/>
    <cellStyle name="20% - Accent1 2 3 4 4" xfId="9980" xr:uid="{98C46645-675D-40F3-AC17-C164660A926A}"/>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1B2348F1-0EAF-4915-8B38-1B6F08CA77CE}"/>
    <cellStyle name="20% - Accent1 2 3 5 2 3" xfId="12538" xr:uid="{0675F04E-B9D2-47EE-AC17-C149868D4B9C}"/>
    <cellStyle name="20% - Accent1 2 3 5 3" xfId="6161" xr:uid="{00000000-0005-0000-0000-00003B000000}"/>
    <cellStyle name="20% - Accent1 2 3 5 3 2" xfId="14611" xr:uid="{0660FE41-0E88-4527-AEA9-61C36C11D384}"/>
    <cellStyle name="20% - Accent1 2 3 5 4" xfId="10393" xr:uid="{3E0DDFF7-D76F-4686-B89C-B4F8591C7822}"/>
    <cellStyle name="20% - Accent1 2 3 6" xfId="2268" xr:uid="{00000000-0005-0000-0000-00003C000000}"/>
    <cellStyle name="20% - Accent1 2 3 6 2" xfId="6574" xr:uid="{00000000-0005-0000-0000-00003D000000}"/>
    <cellStyle name="20% - Accent1 2 3 6 2 2" xfId="15024" xr:uid="{D3630039-9750-4A9D-AFC5-1E153172812E}"/>
    <cellStyle name="20% - Accent1 2 3 6 3" xfId="10806" xr:uid="{4DB30EF7-75D1-430E-AABB-3B2BB3FBEFA1}"/>
    <cellStyle name="20% - Accent1 2 3 7" xfId="4508" xr:uid="{00000000-0005-0000-0000-00003E000000}"/>
    <cellStyle name="20% - Accent1 2 3 7 2" xfId="12958" xr:uid="{598D26A6-F762-4163-BB4A-F6E15C875BCE}"/>
    <cellStyle name="20% - Accent1 2 3 8" xfId="8740" xr:uid="{B00623C7-529B-426F-8241-5A8EEBD7ED9B}"/>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87251DFE-696A-4F22-8362-F222627A7A9D}"/>
    <cellStyle name="20% - Accent1 2 4 2 3" xfId="11296" xr:uid="{DDECA4DB-D356-4FB0-B38E-B7ADF757B3B0}"/>
    <cellStyle name="20% - Accent1 2 4 3" xfId="4919" xr:uid="{00000000-0005-0000-0000-000042000000}"/>
    <cellStyle name="20% - Accent1 2 4 3 2" xfId="13369" xr:uid="{664F3B21-3AC5-4F70-8E4F-7016BE7DC802}"/>
    <cellStyle name="20% - Accent1 2 4 4" xfId="9151" xr:uid="{09975BC1-6121-4FA5-A35D-8AD531077FB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F3D70533-2C7C-480A-8787-B951364E0FEC}"/>
    <cellStyle name="20% - Accent1 2 5 2 3" xfId="11709" xr:uid="{DBBF24D3-B177-403A-AF6F-6C34FD5F6886}"/>
    <cellStyle name="20% - Accent1 2 5 3" xfId="5332" xr:uid="{00000000-0005-0000-0000-000046000000}"/>
    <cellStyle name="20% - Accent1 2 5 3 2" xfId="13782" xr:uid="{48C5A4DB-B8EE-4E7A-88B5-5A039B3E124C}"/>
    <cellStyle name="20% - Accent1 2 5 4" xfId="9564" xr:uid="{77774ED6-6E95-4930-8AAF-241F804297F0}"/>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62FACF32-5D9C-4869-83C9-F61890BA3AD4}"/>
    <cellStyle name="20% - Accent1 2 6 2 3" xfId="12122" xr:uid="{C65D6488-6A34-40FC-844B-BD4F173F51C9}"/>
    <cellStyle name="20% - Accent1 2 6 3" xfId="5745" xr:uid="{00000000-0005-0000-0000-00004A000000}"/>
    <cellStyle name="20% - Accent1 2 6 3 2" xfId="14195" xr:uid="{4898B5AF-0EB1-4834-92E0-2FBE77F49356}"/>
    <cellStyle name="20% - Accent1 2 6 4" xfId="9977" xr:uid="{4500A103-3842-4B1E-8E2F-EF2D316BA84A}"/>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25FE7305-27AD-4712-A461-8BD7119D4617}"/>
    <cellStyle name="20% - Accent1 2 7 2 3" xfId="12535" xr:uid="{6D209B66-92E9-429F-860E-9AABF5F46DDF}"/>
    <cellStyle name="20% - Accent1 2 7 3" xfId="6158" xr:uid="{00000000-0005-0000-0000-00004E000000}"/>
    <cellStyle name="20% - Accent1 2 7 3 2" xfId="14608" xr:uid="{8F57EE4E-8A80-4739-AFA8-431FDF98E432}"/>
    <cellStyle name="20% - Accent1 2 7 4" xfId="10390" xr:uid="{C9578DA5-02AE-4B28-B3B9-3319C0F3949E}"/>
    <cellStyle name="20% - Accent1 2 8" xfId="2265" xr:uid="{00000000-0005-0000-0000-00004F000000}"/>
    <cellStyle name="20% - Accent1 2 8 2" xfId="6571" xr:uid="{00000000-0005-0000-0000-000050000000}"/>
    <cellStyle name="20% - Accent1 2 8 2 2" xfId="15021" xr:uid="{7A9928DF-F373-444F-ABAA-5A966A2D8F90}"/>
    <cellStyle name="20% - Accent1 2 8 3" xfId="10803" xr:uid="{264B7BF1-A328-46BE-AF69-7E84721C1928}"/>
    <cellStyle name="20% - Accent1 2 9" xfId="4505" xr:uid="{00000000-0005-0000-0000-000051000000}"/>
    <cellStyle name="20% - Accent1 2 9 2" xfId="12955" xr:uid="{E1BB46E7-62E9-471C-A3F7-B45BC70CC945}"/>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0D1278B8-F7BA-4EBB-9AF1-7FFFE6DA09A7}"/>
    <cellStyle name="20% - Accent1 3 2 2 2 3" xfId="11301" xr:uid="{89520101-4E0F-4EE4-942C-D7752DFD3A6B}"/>
    <cellStyle name="20% - Accent1 3 2 2 3" xfId="4924" xr:uid="{00000000-0005-0000-0000-000057000000}"/>
    <cellStyle name="20% - Accent1 3 2 2 3 2" xfId="13374" xr:uid="{B5C6398D-2D88-41F2-A989-0F907D374357}"/>
    <cellStyle name="20% - Accent1 3 2 2 4" xfId="9156" xr:uid="{96DF89B2-FF81-4E73-8870-5A017A123460}"/>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DC88E6DD-8A55-478E-879A-8893B21599C9}"/>
    <cellStyle name="20% - Accent1 3 2 3 2 3" xfId="11714" xr:uid="{5FBB4E8D-DC64-457F-8057-5BDE05DD9883}"/>
    <cellStyle name="20% - Accent1 3 2 3 3" xfId="5337" xr:uid="{00000000-0005-0000-0000-00005B000000}"/>
    <cellStyle name="20% - Accent1 3 2 3 3 2" xfId="13787" xr:uid="{1F9EC222-CAA2-4A13-A677-26CBFFB61378}"/>
    <cellStyle name="20% - Accent1 3 2 3 4" xfId="9569" xr:uid="{553C0126-BA5C-4A3D-9495-EEA0451A8A3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E8937D0F-58D8-44D4-AC31-61B20667E558}"/>
    <cellStyle name="20% - Accent1 3 2 4 2 3" xfId="12127" xr:uid="{7BBF582A-C5F3-4AF9-A440-F3EEC57852E4}"/>
    <cellStyle name="20% - Accent1 3 2 4 3" xfId="5750" xr:uid="{00000000-0005-0000-0000-00005F000000}"/>
    <cellStyle name="20% - Accent1 3 2 4 3 2" xfId="14200" xr:uid="{976BC219-FBBA-49A0-BF84-325F0838E04E}"/>
    <cellStyle name="20% - Accent1 3 2 4 4" xfId="9982" xr:uid="{7DEFDA72-26A9-4E54-A539-1FC7AAD6A666}"/>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148D2FF7-CECC-4F6E-9C20-C40182A70F30}"/>
    <cellStyle name="20% - Accent1 3 2 5 2 3" xfId="12540" xr:uid="{177456B2-263D-4D4C-B4E9-D871B0B2BC98}"/>
    <cellStyle name="20% - Accent1 3 2 5 3" xfId="6163" xr:uid="{00000000-0005-0000-0000-000063000000}"/>
    <cellStyle name="20% - Accent1 3 2 5 3 2" xfId="14613" xr:uid="{F88D7920-8383-4464-888F-855E0FC68F89}"/>
    <cellStyle name="20% - Accent1 3 2 5 4" xfId="10395" xr:uid="{F9645FCB-4B4B-47D6-86F6-14A6C37007E0}"/>
    <cellStyle name="20% - Accent1 3 2 6" xfId="2270" xr:uid="{00000000-0005-0000-0000-000064000000}"/>
    <cellStyle name="20% - Accent1 3 2 6 2" xfId="6576" xr:uid="{00000000-0005-0000-0000-000065000000}"/>
    <cellStyle name="20% - Accent1 3 2 6 2 2" xfId="15026" xr:uid="{E413C39E-7D76-4CC0-8DDC-ADA10264272B}"/>
    <cellStyle name="20% - Accent1 3 2 6 3" xfId="10808" xr:uid="{3E374673-3570-4F44-A6C4-A955A6ED0FE7}"/>
    <cellStyle name="20% - Accent1 3 2 7" xfId="4510" xr:uid="{00000000-0005-0000-0000-000066000000}"/>
    <cellStyle name="20% - Accent1 3 2 7 2" xfId="12960" xr:uid="{175FD9DD-EB54-46E5-840B-4D238E348EC0}"/>
    <cellStyle name="20% - Accent1 3 2 8" xfId="8742" xr:uid="{0F44A0D5-E5D1-4CD7-AE55-6F6C25101E2A}"/>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B1124D0D-74DE-4FDA-A2BD-51E36747C233}"/>
    <cellStyle name="20% - Accent1 3 3 2 3" xfId="11300" xr:uid="{749F9F43-B5BB-402B-A670-394E57313CD9}"/>
    <cellStyle name="20% - Accent1 3 3 3" xfId="4923" xr:uid="{00000000-0005-0000-0000-00006A000000}"/>
    <cellStyle name="20% - Accent1 3 3 3 2" xfId="13373" xr:uid="{DC8DAE2E-BE9C-4BC0-851B-39C9064DC067}"/>
    <cellStyle name="20% - Accent1 3 3 4" xfId="9155" xr:uid="{65B46B74-EFF9-4495-B690-2CC71BB4C7A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CEF5A307-1CC2-445A-A65D-48DEB96D83F9}"/>
    <cellStyle name="20% - Accent1 3 4 2 3" xfId="11713" xr:uid="{D0C52FD2-02A1-4084-B1AE-E13EB704FF5E}"/>
    <cellStyle name="20% - Accent1 3 4 3" xfId="5336" xr:uid="{00000000-0005-0000-0000-00006E000000}"/>
    <cellStyle name="20% - Accent1 3 4 3 2" xfId="13786" xr:uid="{66E3E6B5-8F34-4A97-B5AA-EC0C79C8A766}"/>
    <cellStyle name="20% - Accent1 3 4 4" xfId="9568" xr:uid="{481CDE7F-4A94-4C34-98F4-4EA3AA1207C2}"/>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A3F1D02D-37E3-4C3F-B9E3-613F22572946}"/>
    <cellStyle name="20% - Accent1 3 5 2 3" xfId="12126" xr:uid="{004968E9-B71D-4C24-ADDA-A1943A4C0AA9}"/>
    <cellStyle name="20% - Accent1 3 5 3" xfId="5749" xr:uid="{00000000-0005-0000-0000-000072000000}"/>
    <cellStyle name="20% - Accent1 3 5 3 2" xfId="14199" xr:uid="{CA0A3EE2-1A43-4523-87D1-7ECF21A5391C}"/>
    <cellStyle name="20% - Accent1 3 5 4" xfId="9981" xr:uid="{D3072F9E-C4DE-4E9F-8D84-5A140025F4EC}"/>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A81E69B1-E6FB-4623-8B47-2AF9FAFBC0E1}"/>
    <cellStyle name="20% - Accent1 3 6 2 3" xfId="12539" xr:uid="{2B72C16B-4A1F-419D-BEC5-A8E72B50BA0F}"/>
    <cellStyle name="20% - Accent1 3 6 3" xfId="6162" xr:uid="{00000000-0005-0000-0000-000076000000}"/>
    <cellStyle name="20% - Accent1 3 6 3 2" xfId="14612" xr:uid="{C3A41C34-4CD4-4A28-A97A-83ADF7AB9F12}"/>
    <cellStyle name="20% - Accent1 3 6 4" xfId="10394" xr:uid="{08276000-30E9-4046-8E49-E4BC72B52A2E}"/>
    <cellStyle name="20% - Accent1 3 7" xfId="2269" xr:uid="{00000000-0005-0000-0000-000077000000}"/>
    <cellStyle name="20% - Accent1 3 7 2" xfId="6575" xr:uid="{00000000-0005-0000-0000-000078000000}"/>
    <cellStyle name="20% - Accent1 3 7 2 2" xfId="15025" xr:uid="{3A60A68C-8ACF-4BC7-9ADC-B837284A307A}"/>
    <cellStyle name="20% - Accent1 3 7 3" xfId="10807" xr:uid="{F10D20DC-37B0-40A9-B1F0-A825A532DC6E}"/>
    <cellStyle name="20% - Accent1 3 8" xfId="4509" xr:uid="{00000000-0005-0000-0000-000079000000}"/>
    <cellStyle name="20% - Accent1 3 8 2" xfId="12959" xr:uid="{B991AB98-984B-4563-AAEA-59300D48F241}"/>
    <cellStyle name="20% - Accent1 3 9" xfId="8741" xr:uid="{24AC5CBF-8795-483B-82FF-8C933B88DEB9}"/>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8931DD8F-6C8A-43C1-9047-70CD67CA1CCE}"/>
    <cellStyle name="20% - Accent1 4 2 2 3" xfId="11302" xr:uid="{D08D8F57-81EE-4109-9953-1AD7324A4910}"/>
    <cellStyle name="20% - Accent1 4 2 3" xfId="4925" xr:uid="{00000000-0005-0000-0000-00007E000000}"/>
    <cellStyle name="20% - Accent1 4 2 3 2" xfId="13375" xr:uid="{F7836E1C-CC91-4DAF-9EC3-0F4C0040A117}"/>
    <cellStyle name="20% - Accent1 4 2 4" xfId="9157" xr:uid="{9EB795D9-6D49-4BB1-B049-46BA3D885FAB}"/>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04CC4A26-F5FF-4D8D-A409-415FCE27BE61}"/>
    <cellStyle name="20% - Accent1 4 3 2 3" xfId="11715" xr:uid="{33D5498F-233F-4801-B6BF-DAE92A9F8034}"/>
    <cellStyle name="20% - Accent1 4 3 3" xfId="5338" xr:uid="{00000000-0005-0000-0000-000082000000}"/>
    <cellStyle name="20% - Accent1 4 3 3 2" xfId="13788" xr:uid="{5593FA17-9231-4406-9B63-C9E65CD32D71}"/>
    <cellStyle name="20% - Accent1 4 3 4" xfId="9570" xr:uid="{D09DA42A-F4E7-4043-83EB-FE046B7F6390}"/>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2E28EBFD-74CA-4E13-897A-6F74B5933FA2}"/>
    <cellStyle name="20% - Accent1 4 4 2 3" xfId="12128" xr:uid="{1A9B6E8C-9CFD-4C11-9862-1A7B8075A8BB}"/>
    <cellStyle name="20% - Accent1 4 4 3" xfId="5751" xr:uid="{00000000-0005-0000-0000-000086000000}"/>
    <cellStyle name="20% - Accent1 4 4 3 2" xfId="14201" xr:uid="{D266ADB2-C789-4CA9-91D3-5960FA996DF6}"/>
    <cellStyle name="20% - Accent1 4 4 4" xfId="9983" xr:uid="{D64D50FD-9844-4EF5-A251-2EB6BCB28B6B}"/>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4895B11E-7560-4354-B41B-97C6FA9B4824}"/>
    <cellStyle name="20% - Accent1 4 5 2 3" xfId="12541" xr:uid="{819386BA-63BE-4F8A-8315-06E278E1D003}"/>
    <cellStyle name="20% - Accent1 4 5 3" xfId="6164" xr:uid="{00000000-0005-0000-0000-00008A000000}"/>
    <cellStyle name="20% - Accent1 4 5 3 2" xfId="14614" xr:uid="{B8F13AD3-29D2-4EFE-8532-B64A2C311114}"/>
    <cellStyle name="20% - Accent1 4 5 4" xfId="10396" xr:uid="{A6410077-C1B8-4745-9A60-DF54729C2097}"/>
    <cellStyle name="20% - Accent1 4 6" xfId="2271" xr:uid="{00000000-0005-0000-0000-00008B000000}"/>
    <cellStyle name="20% - Accent1 4 6 2" xfId="6577" xr:uid="{00000000-0005-0000-0000-00008C000000}"/>
    <cellStyle name="20% - Accent1 4 6 2 2" xfId="15027" xr:uid="{8191819C-2078-4E53-BC08-43891E30FF9D}"/>
    <cellStyle name="20% - Accent1 4 6 3" xfId="10809" xr:uid="{9E650EAA-5DFB-42EA-8F74-7739A070D20E}"/>
    <cellStyle name="20% - Accent1 4 7" xfId="4511" xr:uid="{00000000-0005-0000-0000-00008D000000}"/>
    <cellStyle name="20% - Accent1 4 7 2" xfId="12961" xr:uid="{C23B8338-A030-406D-B08C-D1F369D2D105}"/>
    <cellStyle name="20% - Accent1 4 8" xfId="8743" xr:uid="{7BAE0F40-4EEF-49FC-9AF8-A33D8B783E62}"/>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3F5D0706-5DFE-41D0-B9FE-6330DD0FBA01}"/>
    <cellStyle name="20% - Accent1 5 2 3" xfId="11295" xr:uid="{D16A7F0F-AF22-460B-8889-8BE624FB4761}"/>
    <cellStyle name="20% - Accent1 5 3" xfId="4918" xr:uid="{00000000-0005-0000-0000-000091000000}"/>
    <cellStyle name="20% - Accent1 5 3 2" xfId="13368" xr:uid="{7011E022-A0F1-4146-8E67-2031980A1DB8}"/>
    <cellStyle name="20% - Accent1 5 4" xfId="9150" xr:uid="{685B6FBF-73E4-4D5B-B41E-9648613B103B}"/>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D05DA83C-6EA2-4213-98F7-64905E60A8EB}"/>
    <cellStyle name="20% - Accent1 6 2 3" xfId="11708" xr:uid="{48B7495C-58E4-4ACC-8FFA-8BC42DBE4884}"/>
    <cellStyle name="20% - Accent1 6 3" xfId="5331" xr:uid="{00000000-0005-0000-0000-000095000000}"/>
    <cellStyle name="20% - Accent1 6 3 2" xfId="13781" xr:uid="{96E0EF85-7FDA-4B9A-8A4D-45D9A303E31F}"/>
    <cellStyle name="20% - Accent1 6 4" xfId="9563" xr:uid="{AEFB3BE3-D653-4FEC-8A4B-11B768DFB04B}"/>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F9F22A3C-6189-45F9-BC54-DBDADCD43970}"/>
    <cellStyle name="20% - Accent1 7 2 3" xfId="12121" xr:uid="{B3639F5B-C4E6-42FA-864A-BAB3A2206381}"/>
    <cellStyle name="20% - Accent1 7 3" xfId="5744" xr:uid="{00000000-0005-0000-0000-000099000000}"/>
    <cellStyle name="20% - Accent1 7 3 2" xfId="14194" xr:uid="{53FD7B39-C6E0-4A6B-8C64-80B3716E593E}"/>
    <cellStyle name="20% - Accent1 7 4" xfId="9976" xr:uid="{93DA8DAC-FD9F-4AFD-9A6F-9CA0A5C12270}"/>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50224178-4F64-400F-B220-86BAD5AB9214}"/>
    <cellStyle name="20% - Accent1 8 2 3" xfId="12534" xr:uid="{F97B079D-F5F7-4D10-B9D6-2147AB255674}"/>
    <cellStyle name="20% - Accent1 8 3" xfId="6157" xr:uid="{00000000-0005-0000-0000-00009D000000}"/>
    <cellStyle name="20% - Accent1 8 3 2" xfId="14607" xr:uid="{D871249B-A98D-42BD-AF9C-97DA33865547}"/>
    <cellStyle name="20% - Accent1 8 4" xfId="10389" xr:uid="{6D52EFB6-48DD-4BFC-B783-62A6C0B98502}"/>
    <cellStyle name="20% - Accent1 9" xfId="2264" xr:uid="{00000000-0005-0000-0000-00009E000000}"/>
    <cellStyle name="20% - Accent1 9 2" xfId="6570" xr:uid="{00000000-0005-0000-0000-00009F000000}"/>
    <cellStyle name="20% - Accent1 9 2 2" xfId="15020" xr:uid="{4F65CFAD-7088-48D3-8386-F3C0DE096607}"/>
    <cellStyle name="20% - Accent1 9 3" xfId="10802" xr:uid="{23D16AC5-552D-4892-8B3D-1E4546C9335A}"/>
    <cellStyle name="20% - Accent2" xfId="9" builtinId="34" customBuiltin="1"/>
    <cellStyle name="20% - Accent2 10" xfId="4512" xr:uid="{00000000-0005-0000-0000-0000A1000000}"/>
    <cellStyle name="20% - Accent2 10 2" xfId="12962" xr:uid="{23D3B123-5C4E-4ADF-8AE5-2CE601664DC3}"/>
    <cellStyle name="20% - Accent2 11" xfId="8744" xr:uid="{DDC627DE-0EE7-4166-98AD-ED92E0A92443}"/>
    <cellStyle name="20% - Accent2 2" xfId="10" xr:uid="{00000000-0005-0000-0000-0000A2000000}"/>
    <cellStyle name="20% - Accent2 2 10" xfId="8745" xr:uid="{3D743A41-C9F3-4F2E-A1C1-42E51E0C20F8}"/>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8F1D0A75-8A3A-4C2B-AA8A-792B997E75A8}"/>
    <cellStyle name="20% - Accent2 2 2 2 2 2 3" xfId="11306" xr:uid="{78BF69D1-8996-4346-BF1B-2953D83B49DC}"/>
    <cellStyle name="20% - Accent2 2 2 2 2 3" xfId="4929" xr:uid="{00000000-0005-0000-0000-0000A8000000}"/>
    <cellStyle name="20% - Accent2 2 2 2 2 3 2" xfId="13379" xr:uid="{9CB97EEC-7406-4B20-AF6B-9F522BE66818}"/>
    <cellStyle name="20% - Accent2 2 2 2 2 4" xfId="9161" xr:uid="{995182F7-B88F-4DD1-B71D-D2128181CB3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CA080ACE-7509-48FD-BB1B-DAAA7F7C4D5D}"/>
    <cellStyle name="20% - Accent2 2 2 2 3 2 3" xfId="11719" xr:uid="{F34172A7-CCDF-461D-9418-AA942B728E87}"/>
    <cellStyle name="20% - Accent2 2 2 2 3 3" xfId="5342" xr:uid="{00000000-0005-0000-0000-0000AC000000}"/>
    <cellStyle name="20% - Accent2 2 2 2 3 3 2" xfId="13792" xr:uid="{9E8A7D08-541D-4C47-8530-DE475FC5EE5B}"/>
    <cellStyle name="20% - Accent2 2 2 2 3 4" xfId="9574" xr:uid="{4C87137A-0C61-4193-9497-FA8DEC334E81}"/>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1769A545-3FEB-48A6-8182-46FDC0D386F6}"/>
    <cellStyle name="20% - Accent2 2 2 2 4 2 3" xfId="12132" xr:uid="{4E682361-A32D-4B57-B6A0-07CFB952BE26}"/>
    <cellStyle name="20% - Accent2 2 2 2 4 3" xfId="5755" xr:uid="{00000000-0005-0000-0000-0000B0000000}"/>
    <cellStyle name="20% - Accent2 2 2 2 4 3 2" xfId="14205" xr:uid="{0BCE37A2-ED56-4E25-8402-FC0BB11A60C9}"/>
    <cellStyle name="20% - Accent2 2 2 2 4 4" xfId="9987" xr:uid="{99CEB3B8-02F3-4B71-B452-2E0236F1A9E6}"/>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22489A35-3175-4F79-BFA8-1F87823C8C30}"/>
    <cellStyle name="20% - Accent2 2 2 2 5 2 3" xfId="12545" xr:uid="{504E714B-873B-4A83-B133-023AB6357DC8}"/>
    <cellStyle name="20% - Accent2 2 2 2 5 3" xfId="6168" xr:uid="{00000000-0005-0000-0000-0000B4000000}"/>
    <cellStyle name="20% - Accent2 2 2 2 5 3 2" xfId="14618" xr:uid="{8C87F9C5-F1FE-4ECA-8831-5D8CE56EF03B}"/>
    <cellStyle name="20% - Accent2 2 2 2 5 4" xfId="10400" xr:uid="{E81E62A7-9EC4-466D-80D4-B13C91BFB196}"/>
    <cellStyle name="20% - Accent2 2 2 2 6" xfId="2275" xr:uid="{00000000-0005-0000-0000-0000B5000000}"/>
    <cellStyle name="20% - Accent2 2 2 2 6 2" xfId="6581" xr:uid="{00000000-0005-0000-0000-0000B6000000}"/>
    <cellStyle name="20% - Accent2 2 2 2 6 2 2" xfId="15031" xr:uid="{C927B476-4812-4BB8-914F-5035EEEBE1B0}"/>
    <cellStyle name="20% - Accent2 2 2 2 6 3" xfId="10813" xr:uid="{6BDA489D-B893-4DE3-B615-46ED196BFB28}"/>
    <cellStyle name="20% - Accent2 2 2 2 7" xfId="4515" xr:uid="{00000000-0005-0000-0000-0000B7000000}"/>
    <cellStyle name="20% - Accent2 2 2 2 7 2" xfId="12965" xr:uid="{E8A9CADD-6879-4C55-8126-FE8A86550E17}"/>
    <cellStyle name="20% - Accent2 2 2 2 8" xfId="8747" xr:uid="{2AF8C901-8C26-42FA-ACDD-5A0ED82ACDBE}"/>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D576F0BD-3C62-40B1-8B14-ACE43E47444F}"/>
    <cellStyle name="20% - Accent2 2 2 3 2 3" xfId="11305" xr:uid="{7863236E-E44A-4208-AB1C-AA7F1FF1FE77}"/>
    <cellStyle name="20% - Accent2 2 2 3 3" xfId="4928" xr:uid="{00000000-0005-0000-0000-0000BB000000}"/>
    <cellStyle name="20% - Accent2 2 2 3 3 2" xfId="13378" xr:uid="{627C21E7-D695-4E8A-AF8C-660BA5563935}"/>
    <cellStyle name="20% - Accent2 2 2 3 4" xfId="9160" xr:uid="{D043D64A-ACC3-4714-86ED-005BDA45C1A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B99581CD-517F-4F7C-99CB-309F6165BE66}"/>
    <cellStyle name="20% - Accent2 2 2 4 2 3" xfId="11718" xr:uid="{8352A65C-CDC7-4BD8-BAAD-BCA1DB178990}"/>
    <cellStyle name="20% - Accent2 2 2 4 3" xfId="5341" xr:uid="{00000000-0005-0000-0000-0000BF000000}"/>
    <cellStyle name="20% - Accent2 2 2 4 3 2" xfId="13791" xr:uid="{7C79FE2B-814F-4150-B727-758FB168CFED}"/>
    <cellStyle name="20% - Accent2 2 2 4 4" xfId="9573" xr:uid="{212090B3-6BC3-4A8B-AE1A-988FA23366F8}"/>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F6F79558-B736-4925-929E-A65FE278B4BA}"/>
    <cellStyle name="20% - Accent2 2 2 5 2 3" xfId="12131" xr:uid="{D2E58065-C518-4CAC-8C91-58C9894B8654}"/>
    <cellStyle name="20% - Accent2 2 2 5 3" xfId="5754" xr:uid="{00000000-0005-0000-0000-0000C3000000}"/>
    <cellStyle name="20% - Accent2 2 2 5 3 2" xfId="14204" xr:uid="{19E7AC1D-8B1A-47AE-994D-C2EABE522A46}"/>
    <cellStyle name="20% - Accent2 2 2 5 4" xfId="9986" xr:uid="{B315BFD3-1F5C-419F-B600-1CDCBA6D184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3735CE2C-F092-44B2-9988-6B1845A574BD}"/>
    <cellStyle name="20% - Accent2 2 2 6 2 3" xfId="12544" xr:uid="{62C5B84A-992F-41E9-BCB0-4F51222852AC}"/>
    <cellStyle name="20% - Accent2 2 2 6 3" xfId="6167" xr:uid="{00000000-0005-0000-0000-0000C7000000}"/>
    <cellStyle name="20% - Accent2 2 2 6 3 2" xfId="14617" xr:uid="{83F0AF0A-84CC-42A8-A6C7-DF51F71B1072}"/>
    <cellStyle name="20% - Accent2 2 2 6 4" xfId="10399" xr:uid="{3AA14100-DE82-47FB-9DB9-455C14376085}"/>
    <cellStyle name="20% - Accent2 2 2 7" xfId="2274" xr:uid="{00000000-0005-0000-0000-0000C8000000}"/>
    <cellStyle name="20% - Accent2 2 2 7 2" xfId="6580" xr:uid="{00000000-0005-0000-0000-0000C9000000}"/>
    <cellStyle name="20% - Accent2 2 2 7 2 2" xfId="15030" xr:uid="{6B0E2985-7B35-4079-B57B-D954294CB3A4}"/>
    <cellStyle name="20% - Accent2 2 2 7 3" xfId="10812" xr:uid="{6C90B3AB-8C3E-4345-8727-1172C1B45A59}"/>
    <cellStyle name="20% - Accent2 2 2 8" xfId="4514" xr:uid="{00000000-0005-0000-0000-0000CA000000}"/>
    <cellStyle name="20% - Accent2 2 2 8 2" xfId="12964" xr:uid="{76C4DFAD-A3B6-4944-BDE4-6CAFC8A2857D}"/>
    <cellStyle name="20% - Accent2 2 2 9" xfId="8746" xr:uid="{96744F6F-0D2D-42BC-9FFF-24655D5F1FF7}"/>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A3F31758-19D6-4AE7-BE31-C07E76AE508D}"/>
    <cellStyle name="20% - Accent2 2 3 2 2 3" xfId="11307" xr:uid="{564C70DE-6B14-4EB7-9092-78E9DE83A6D7}"/>
    <cellStyle name="20% - Accent2 2 3 2 3" xfId="4930" xr:uid="{00000000-0005-0000-0000-0000CF000000}"/>
    <cellStyle name="20% - Accent2 2 3 2 3 2" xfId="13380" xr:uid="{20BBD50E-1A28-4285-A140-9074D60AB633}"/>
    <cellStyle name="20% - Accent2 2 3 2 4" xfId="9162" xr:uid="{840F6B23-B3A7-46CA-AD5B-5EFD7D25C6B4}"/>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EE76E123-7EB2-4DE0-8E55-7F96A76D2FE6}"/>
    <cellStyle name="20% - Accent2 2 3 3 2 3" xfId="11720" xr:uid="{3D6690C1-75E1-4046-9EF2-BACC414C9C20}"/>
    <cellStyle name="20% - Accent2 2 3 3 3" xfId="5343" xr:uid="{00000000-0005-0000-0000-0000D3000000}"/>
    <cellStyle name="20% - Accent2 2 3 3 3 2" xfId="13793" xr:uid="{8164DFA1-53F2-423E-886C-A2793030F866}"/>
    <cellStyle name="20% - Accent2 2 3 3 4" xfId="9575" xr:uid="{FAF7BEC8-B14D-4448-B863-9212E86AC15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DAE94DD3-6854-4AB1-BD05-174E6649714A}"/>
    <cellStyle name="20% - Accent2 2 3 4 2 3" xfId="12133" xr:uid="{36D44D00-9E73-4CF5-871E-D3AD66A4FC31}"/>
    <cellStyle name="20% - Accent2 2 3 4 3" xfId="5756" xr:uid="{00000000-0005-0000-0000-0000D7000000}"/>
    <cellStyle name="20% - Accent2 2 3 4 3 2" xfId="14206" xr:uid="{D3598D8B-909E-4C6C-99FB-E022447019CF}"/>
    <cellStyle name="20% - Accent2 2 3 4 4" xfId="9988" xr:uid="{E5F19E87-8F6D-4701-9AE7-AC187411606E}"/>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85AEA992-09EF-4779-9831-FDFB44077C28}"/>
    <cellStyle name="20% - Accent2 2 3 5 2 3" xfId="12546" xr:uid="{B4C2B730-0FF8-4A21-B472-8F1F4754E9B6}"/>
    <cellStyle name="20% - Accent2 2 3 5 3" xfId="6169" xr:uid="{00000000-0005-0000-0000-0000DB000000}"/>
    <cellStyle name="20% - Accent2 2 3 5 3 2" xfId="14619" xr:uid="{7AE0D778-AD8E-4D2A-8ECB-202C587B56C2}"/>
    <cellStyle name="20% - Accent2 2 3 5 4" xfId="10401" xr:uid="{9C25D375-93E9-4464-B72F-4D7C5A15EEDC}"/>
    <cellStyle name="20% - Accent2 2 3 6" xfId="2276" xr:uid="{00000000-0005-0000-0000-0000DC000000}"/>
    <cellStyle name="20% - Accent2 2 3 6 2" xfId="6582" xr:uid="{00000000-0005-0000-0000-0000DD000000}"/>
    <cellStyle name="20% - Accent2 2 3 6 2 2" xfId="15032" xr:uid="{78E7E34F-11ED-4E48-BB91-A8D95073857F}"/>
    <cellStyle name="20% - Accent2 2 3 6 3" xfId="10814" xr:uid="{8517F7FC-6780-4974-8DFE-802D16F5376D}"/>
    <cellStyle name="20% - Accent2 2 3 7" xfId="4516" xr:uid="{00000000-0005-0000-0000-0000DE000000}"/>
    <cellStyle name="20% - Accent2 2 3 7 2" xfId="12966" xr:uid="{5CCF286B-7A98-4AA6-888E-158B3000F9E6}"/>
    <cellStyle name="20% - Accent2 2 3 8" xfId="8748" xr:uid="{C27908B5-0C2B-4AE1-B170-EC961793F441}"/>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7D79175B-87C7-4DA6-A862-F091A30065DE}"/>
    <cellStyle name="20% - Accent2 2 4 2 3" xfId="11304" xr:uid="{FFC79D26-AC6A-4AE0-8C86-9C8AAE36A925}"/>
    <cellStyle name="20% - Accent2 2 4 3" xfId="4927" xr:uid="{00000000-0005-0000-0000-0000E2000000}"/>
    <cellStyle name="20% - Accent2 2 4 3 2" xfId="13377" xr:uid="{DF9E4C3A-9024-43A1-A692-29E4E05C857C}"/>
    <cellStyle name="20% - Accent2 2 4 4" xfId="9159" xr:uid="{F654EAA7-4AF8-4261-8993-C82D4A6A9C27}"/>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15B281CA-CC51-439E-B313-E785260C0C16}"/>
    <cellStyle name="20% - Accent2 2 5 2 3" xfId="11717" xr:uid="{A8149B51-70FC-496F-8D46-EF78CCC8253C}"/>
    <cellStyle name="20% - Accent2 2 5 3" xfId="5340" xr:uid="{00000000-0005-0000-0000-0000E6000000}"/>
    <cellStyle name="20% - Accent2 2 5 3 2" xfId="13790" xr:uid="{A8848E85-4C87-4AF2-AE5A-2532B723239F}"/>
    <cellStyle name="20% - Accent2 2 5 4" xfId="9572" xr:uid="{0DC9DA17-C63B-4873-9FC8-6B46B95D364A}"/>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44C4160C-6DF4-4A91-AA8E-9FF3DFAB51F1}"/>
    <cellStyle name="20% - Accent2 2 6 2 3" xfId="12130" xr:uid="{1CD2663C-C424-4867-8DA4-748CD451D090}"/>
    <cellStyle name="20% - Accent2 2 6 3" xfId="5753" xr:uid="{00000000-0005-0000-0000-0000EA000000}"/>
    <cellStyle name="20% - Accent2 2 6 3 2" xfId="14203" xr:uid="{A03EBC53-94F0-4C9B-91F2-64905F65AA49}"/>
    <cellStyle name="20% - Accent2 2 6 4" xfId="9985" xr:uid="{B5C12587-9B33-41B5-8819-401A8F0046E3}"/>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3B47AFCF-FA30-4842-BE08-CB2BFFA83AF6}"/>
    <cellStyle name="20% - Accent2 2 7 2 3" xfId="12543" xr:uid="{754B509E-80CC-4950-B0E2-CAB33CFE4A49}"/>
    <cellStyle name="20% - Accent2 2 7 3" xfId="6166" xr:uid="{00000000-0005-0000-0000-0000EE000000}"/>
    <cellStyle name="20% - Accent2 2 7 3 2" xfId="14616" xr:uid="{5938122E-B468-4A2A-B081-7498D9D3BEA5}"/>
    <cellStyle name="20% - Accent2 2 7 4" xfId="10398" xr:uid="{5D3FC5DB-EDBD-4186-AE50-0ED172DEC40D}"/>
    <cellStyle name="20% - Accent2 2 8" xfId="2273" xr:uid="{00000000-0005-0000-0000-0000EF000000}"/>
    <cellStyle name="20% - Accent2 2 8 2" xfId="6579" xr:uid="{00000000-0005-0000-0000-0000F0000000}"/>
    <cellStyle name="20% - Accent2 2 8 2 2" xfId="15029" xr:uid="{6BC8B81F-C446-40DF-9EDC-22630D755644}"/>
    <cellStyle name="20% - Accent2 2 8 3" xfId="10811" xr:uid="{B2E6BF41-BA54-409D-A324-6603A0098161}"/>
    <cellStyle name="20% - Accent2 2 9" xfId="4513" xr:uid="{00000000-0005-0000-0000-0000F1000000}"/>
    <cellStyle name="20% - Accent2 2 9 2" xfId="12963" xr:uid="{5B3C3B73-4FCB-4786-80CA-6A0A33282696}"/>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CE61272F-0BB3-434B-AAC2-1165053ED80F}"/>
    <cellStyle name="20% - Accent2 3 2 2 2 3" xfId="11309" xr:uid="{16A1A53E-9542-40C3-AE5E-33B66A852EC6}"/>
    <cellStyle name="20% - Accent2 3 2 2 3" xfId="4932" xr:uid="{00000000-0005-0000-0000-0000F7000000}"/>
    <cellStyle name="20% - Accent2 3 2 2 3 2" xfId="13382" xr:uid="{CA51B9F1-D004-405D-8EC6-8BDC5D735810}"/>
    <cellStyle name="20% - Accent2 3 2 2 4" xfId="9164" xr:uid="{9D163987-4362-40F8-9746-BD6C2F10CCF5}"/>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C473366B-850F-44A9-AB47-F827EC7C6215}"/>
    <cellStyle name="20% - Accent2 3 2 3 2 3" xfId="11722" xr:uid="{A9D2FACC-1D1C-4ABE-9E7B-1822582CE5CB}"/>
    <cellStyle name="20% - Accent2 3 2 3 3" xfId="5345" xr:uid="{00000000-0005-0000-0000-0000FB000000}"/>
    <cellStyle name="20% - Accent2 3 2 3 3 2" xfId="13795" xr:uid="{48EB3E5E-F000-49D4-A3F1-D82840FE72B5}"/>
    <cellStyle name="20% - Accent2 3 2 3 4" xfId="9577" xr:uid="{45DB604C-699E-44E5-8B21-D8A18A89E7D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1BD7458A-AF19-48B2-AC8A-B88ED7C5205A}"/>
    <cellStyle name="20% - Accent2 3 2 4 2 3" xfId="12135" xr:uid="{6A0E064F-EAE2-4E97-9FBB-C42D58A94542}"/>
    <cellStyle name="20% - Accent2 3 2 4 3" xfId="5758" xr:uid="{00000000-0005-0000-0000-0000FF000000}"/>
    <cellStyle name="20% - Accent2 3 2 4 3 2" xfId="14208" xr:uid="{0D65495E-371D-4A75-A231-2CFFDDBD81B7}"/>
    <cellStyle name="20% - Accent2 3 2 4 4" xfId="9990" xr:uid="{EE748508-E7BF-4CD7-8381-A76786FD477D}"/>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378C9318-5964-4BBF-A13E-E5032BC1C1EE}"/>
    <cellStyle name="20% - Accent2 3 2 5 2 3" xfId="12548" xr:uid="{CEC1BF1E-8145-491E-80E1-231DF427091F}"/>
    <cellStyle name="20% - Accent2 3 2 5 3" xfId="6171" xr:uid="{00000000-0005-0000-0000-000003010000}"/>
    <cellStyle name="20% - Accent2 3 2 5 3 2" xfId="14621" xr:uid="{0F72CB11-E0FD-4CBC-BB63-BCDD269D491A}"/>
    <cellStyle name="20% - Accent2 3 2 5 4" xfId="10403" xr:uid="{CA0CBF7E-F7D9-4217-862C-512B90BA9B7C}"/>
    <cellStyle name="20% - Accent2 3 2 6" xfId="2278" xr:uid="{00000000-0005-0000-0000-000004010000}"/>
    <cellStyle name="20% - Accent2 3 2 6 2" xfId="6584" xr:uid="{00000000-0005-0000-0000-000005010000}"/>
    <cellStyle name="20% - Accent2 3 2 6 2 2" xfId="15034" xr:uid="{BEC4D851-C1CA-46C6-AAF6-838B807483E6}"/>
    <cellStyle name="20% - Accent2 3 2 6 3" xfId="10816" xr:uid="{DA53CF77-B322-4D6D-A3D5-F0E4B16B0C4B}"/>
    <cellStyle name="20% - Accent2 3 2 7" xfId="4518" xr:uid="{00000000-0005-0000-0000-000006010000}"/>
    <cellStyle name="20% - Accent2 3 2 7 2" xfId="12968" xr:uid="{25F9FD0E-E47D-4656-A78E-A26C43529772}"/>
    <cellStyle name="20% - Accent2 3 2 8" xfId="8750" xr:uid="{4F724778-EA46-4E95-B582-3A8C23977487}"/>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6B2EBBEA-AE56-442B-AD93-6A5CC9539ED4}"/>
    <cellStyle name="20% - Accent2 3 3 2 3" xfId="11308" xr:uid="{4ACBDFDF-38AC-4524-A84D-8B206948CF44}"/>
    <cellStyle name="20% - Accent2 3 3 3" xfId="4931" xr:uid="{00000000-0005-0000-0000-00000A010000}"/>
    <cellStyle name="20% - Accent2 3 3 3 2" xfId="13381" xr:uid="{0D596B0D-CA75-41EE-865D-547AE70321C7}"/>
    <cellStyle name="20% - Accent2 3 3 4" xfId="9163" xr:uid="{D999285A-3159-4DB5-8788-7B63F18DE49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1F8C9F05-F449-4E20-B51E-01DC2BD470E5}"/>
    <cellStyle name="20% - Accent2 3 4 2 3" xfId="11721" xr:uid="{D4503EB5-DF96-4301-AAD2-F12428D5FA02}"/>
    <cellStyle name="20% - Accent2 3 4 3" xfId="5344" xr:uid="{00000000-0005-0000-0000-00000E010000}"/>
    <cellStyle name="20% - Accent2 3 4 3 2" xfId="13794" xr:uid="{E4617AF9-C168-4020-ACE3-0F52FD8D8330}"/>
    <cellStyle name="20% - Accent2 3 4 4" xfId="9576" xr:uid="{ED05335F-914E-421B-8526-D6A5B0DBEF34}"/>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7D82D7DC-34B9-4E64-A600-7213CD2DEAD9}"/>
    <cellStyle name="20% - Accent2 3 5 2 3" xfId="12134" xr:uid="{3344D18E-9656-4D2B-AD06-9E663A30ACAC}"/>
    <cellStyle name="20% - Accent2 3 5 3" xfId="5757" xr:uid="{00000000-0005-0000-0000-000012010000}"/>
    <cellStyle name="20% - Accent2 3 5 3 2" xfId="14207" xr:uid="{604A2C69-7158-4B68-AD73-7CB2F568BBCF}"/>
    <cellStyle name="20% - Accent2 3 5 4" xfId="9989" xr:uid="{EFD750ED-7E58-46DE-B185-04CC8AE04A68}"/>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01D269EB-000A-4140-A7A7-A80A1A10BE1C}"/>
    <cellStyle name="20% - Accent2 3 6 2 3" xfId="12547" xr:uid="{03850CC2-D4AF-44D5-BC3D-9E72E914A22F}"/>
    <cellStyle name="20% - Accent2 3 6 3" xfId="6170" xr:uid="{00000000-0005-0000-0000-000016010000}"/>
    <cellStyle name="20% - Accent2 3 6 3 2" xfId="14620" xr:uid="{384E5476-D759-41BF-96FA-FB007FA248C7}"/>
    <cellStyle name="20% - Accent2 3 6 4" xfId="10402" xr:uid="{BB446485-62D2-4D4A-8C09-AC63A9E2F4E0}"/>
    <cellStyle name="20% - Accent2 3 7" xfId="2277" xr:uid="{00000000-0005-0000-0000-000017010000}"/>
    <cellStyle name="20% - Accent2 3 7 2" xfId="6583" xr:uid="{00000000-0005-0000-0000-000018010000}"/>
    <cellStyle name="20% - Accent2 3 7 2 2" xfId="15033" xr:uid="{96A19AAC-861A-4F32-A9BC-86ACF57D139D}"/>
    <cellStyle name="20% - Accent2 3 7 3" xfId="10815" xr:uid="{11144730-2401-465D-AC89-511CB7B66B05}"/>
    <cellStyle name="20% - Accent2 3 8" xfId="4517" xr:uid="{00000000-0005-0000-0000-000019010000}"/>
    <cellStyle name="20% - Accent2 3 8 2" xfId="12967" xr:uid="{69915330-8142-4E72-BE1C-012A56FD60AA}"/>
    <cellStyle name="20% - Accent2 3 9" xfId="8749" xr:uid="{F37EDF1B-F14F-4664-AC27-7287691020E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913F8E39-A571-4F4F-BF4E-1088D236E158}"/>
    <cellStyle name="20% - Accent2 4 2 2 3" xfId="11310" xr:uid="{234A470C-20EE-45CD-BC96-CFCBA772B9EC}"/>
    <cellStyle name="20% - Accent2 4 2 3" xfId="4933" xr:uid="{00000000-0005-0000-0000-00001E010000}"/>
    <cellStyle name="20% - Accent2 4 2 3 2" xfId="13383" xr:uid="{4A3689FA-D098-4DC9-AE0D-1C9BA49729AC}"/>
    <cellStyle name="20% - Accent2 4 2 4" xfId="9165" xr:uid="{6840A73B-EB7C-480D-B45F-AC5F36C6046F}"/>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BDD045B7-DE23-4A0D-8926-6ABF809DA51B}"/>
    <cellStyle name="20% - Accent2 4 3 2 3" xfId="11723" xr:uid="{293BB13F-DA89-4F5F-A119-9B20F96891D5}"/>
    <cellStyle name="20% - Accent2 4 3 3" xfId="5346" xr:uid="{00000000-0005-0000-0000-000022010000}"/>
    <cellStyle name="20% - Accent2 4 3 3 2" xfId="13796" xr:uid="{ACFC1AED-4F10-4FE5-B1AF-9B7984AE2E94}"/>
    <cellStyle name="20% - Accent2 4 3 4" xfId="9578" xr:uid="{42854D02-FB17-475D-9766-8A6B9D20C9AD}"/>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671565E-4D26-48A3-8EBF-AAD0B1DE30A4}"/>
    <cellStyle name="20% - Accent2 4 4 2 3" xfId="12136" xr:uid="{73356CD4-9F36-4AED-9CFB-A63D5A974840}"/>
    <cellStyle name="20% - Accent2 4 4 3" xfId="5759" xr:uid="{00000000-0005-0000-0000-000026010000}"/>
    <cellStyle name="20% - Accent2 4 4 3 2" xfId="14209" xr:uid="{5060ADD0-4311-43E3-9619-2E1CC64E3E6C}"/>
    <cellStyle name="20% - Accent2 4 4 4" xfId="9991" xr:uid="{4E9C7AA1-0B2D-4FF8-B96A-0A4B758AA62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56CBF305-8869-40E3-9768-EA2CDD76D919}"/>
    <cellStyle name="20% - Accent2 4 5 2 3" xfId="12549" xr:uid="{D2AB7C33-45EB-4BA6-B7DA-D46D79A49E77}"/>
    <cellStyle name="20% - Accent2 4 5 3" xfId="6172" xr:uid="{00000000-0005-0000-0000-00002A010000}"/>
    <cellStyle name="20% - Accent2 4 5 3 2" xfId="14622" xr:uid="{CE38B038-E4EC-41F0-938D-40BC54FDDB37}"/>
    <cellStyle name="20% - Accent2 4 5 4" xfId="10404" xr:uid="{BABD7E90-C35C-4BF2-8D68-E75CE1ECEE37}"/>
    <cellStyle name="20% - Accent2 4 6" xfId="2279" xr:uid="{00000000-0005-0000-0000-00002B010000}"/>
    <cellStyle name="20% - Accent2 4 6 2" xfId="6585" xr:uid="{00000000-0005-0000-0000-00002C010000}"/>
    <cellStyle name="20% - Accent2 4 6 2 2" xfId="15035" xr:uid="{F074CD17-07DF-4C06-8BAC-0FBB641931F2}"/>
    <cellStyle name="20% - Accent2 4 6 3" xfId="10817" xr:uid="{E422329D-D2A6-45EC-BECA-8F6D11251792}"/>
    <cellStyle name="20% - Accent2 4 7" xfId="4519" xr:uid="{00000000-0005-0000-0000-00002D010000}"/>
    <cellStyle name="20% - Accent2 4 7 2" xfId="12969" xr:uid="{5779E86E-C79A-4E52-8F61-661529BBE054}"/>
    <cellStyle name="20% - Accent2 4 8" xfId="8751" xr:uid="{EB0B5ED0-B385-4AAD-9E45-63F2CCE38A65}"/>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E2AE365E-F2EE-41DD-A4B7-1BDD3EF1C312}"/>
    <cellStyle name="20% - Accent2 5 2 3" xfId="11303" xr:uid="{B2E84121-03EA-44E7-A278-9D188C2BCCE9}"/>
    <cellStyle name="20% - Accent2 5 3" xfId="4926" xr:uid="{00000000-0005-0000-0000-000031010000}"/>
    <cellStyle name="20% - Accent2 5 3 2" xfId="13376" xr:uid="{F86D8942-EAC0-4913-9AEA-799F9B94DD98}"/>
    <cellStyle name="20% - Accent2 5 4" xfId="9158" xr:uid="{23DA9BC7-28AB-4E68-8002-BE82C4490ED9}"/>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E536DA30-714C-46D8-9FE3-D8B862BF5EC2}"/>
    <cellStyle name="20% - Accent2 6 2 3" xfId="11716" xr:uid="{A474ADBD-EBD6-47F0-991A-8D661511B58E}"/>
    <cellStyle name="20% - Accent2 6 3" xfId="5339" xr:uid="{00000000-0005-0000-0000-000035010000}"/>
    <cellStyle name="20% - Accent2 6 3 2" xfId="13789" xr:uid="{B026C597-E3DD-4182-A5DA-A1EDBC9D2830}"/>
    <cellStyle name="20% - Accent2 6 4" xfId="9571" xr:uid="{F3AA5537-105C-490B-A2E0-1DBCD2EF89C5}"/>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E7BF0B07-DBF3-4525-B1C0-74BD80D1197D}"/>
    <cellStyle name="20% - Accent2 7 2 3" xfId="12129" xr:uid="{57123609-34D3-4CAC-BAAD-1BA57E73D8C3}"/>
    <cellStyle name="20% - Accent2 7 3" xfId="5752" xr:uid="{00000000-0005-0000-0000-000039010000}"/>
    <cellStyle name="20% - Accent2 7 3 2" xfId="14202" xr:uid="{1D8A5762-61D4-4772-8C34-BE6AD39EB459}"/>
    <cellStyle name="20% - Accent2 7 4" xfId="9984" xr:uid="{B31FB389-BB07-4F9C-8FBF-DD74CADECEB4}"/>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D0E6F251-9611-479C-B8BC-DC850572F050}"/>
    <cellStyle name="20% - Accent2 8 2 3" xfId="12542" xr:uid="{85DFF143-C3B1-44A0-B0E0-6EBE12717B3D}"/>
    <cellStyle name="20% - Accent2 8 3" xfId="6165" xr:uid="{00000000-0005-0000-0000-00003D010000}"/>
    <cellStyle name="20% - Accent2 8 3 2" xfId="14615" xr:uid="{21533AFE-CBE0-43A8-9B8F-F8E564100F77}"/>
    <cellStyle name="20% - Accent2 8 4" xfId="10397" xr:uid="{C74EFB10-814C-4AA6-9FA2-DEA04709C829}"/>
    <cellStyle name="20% - Accent2 9" xfId="2272" xr:uid="{00000000-0005-0000-0000-00003E010000}"/>
    <cellStyle name="20% - Accent2 9 2" xfId="6578" xr:uid="{00000000-0005-0000-0000-00003F010000}"/>
    <cellStyle name="20% - Accent2 9 2 2" xfId="15028" xr:uid="{00782D5E-B96E-4A2B-8B00-96F31C8F4585}"/>
    <cellStyle name="20% - Accent2 9 3" xfId="10810" xr:uid="{88B81040-D759-4ECF-B18D-2A10ED964FDB}"/>
    <cellStyle name="20% - Accent3" xfId="17" builtinId="38" customBuiltin="1"/>
    <cellStyle name="20% - Accent3 10" xfId="4520" xr:uid="{00000000-0005-0000-0000-000041010000}"/>
    <cellStyle name="20% - Accent3 10 2" xfId="12970" xr:uid="{FE77E299-2A88-4D5C-AA0F-16ABD010D352}"/>
    <cellStyle name="20% - Accent3 11" xfId="8752" xr:uid="{642D598A-57A9-4AED-966C-FE4568E4A247}"/>
    <cellStyle name="20% - Accent3 2" xfId="18" xr:uid="{00000000-0005-0000-0000-000042010000}"/>
    <cellStyle name="20% - Accent3 2 10" xfId="8753" xr:uid="{D5253D9F-46CD-4710-B1A9-FC996F51D5DE}"/>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7A04BB70-3AB8-4752-B7AF-05FF76712F43}"/>
    <cellStyle name="20% - Accent3 2 2 2 2 2 3" xfId="11314" xr:uid="{A436EAEA-F8E7-4517-B7DB-3425031F2D0C}"/>
    <cellStyle name="20% - Accent3 2 2 2 2 3" xfId="4937" xr:uid="{00000000-0005-0000-0000-000048010000}"/>
    <cellStyle name="20% - Accent3 2 2 2 2 3 2" xfId="13387" xr:uid="{C547D2EF-B0E2-462D-BC86-A501214A1DD5}"/>
    <cellStyle name="20% - Accent3 2 2 2 2 4" xfId="9169" xr:uid="{B6290BD1-80AA-4B5D-96BC-0D64968A8B7B}"/>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D9072EE5-EA88-4C14-A124-0D04231156A5}"/>
    <cellStyle name="20% - Accent3 2 2 2 3 2 3" xfId="11727" xr:uid="{9360F180-257F-4DDE-A333-77E3773B5C74}"/>
    <cellStyle name="20% - Accent3 2 2 2 3 3" xfId="5350" xr:uid="{00000000-0005-0000-0000-00004C010000}"/>
    <cellStyle name="20% - Accent3 2 2 2 3 3 2" xfId="13800" xr:uid="{86633D6B-7174-4F15-836C-3331644A8831}"/>
    <cellStyle name="20% - Accent3 2 2 2 3 4" xfId="9582" xr:uid="{0415C45F-78AA-4E84-9193-9F8854CABFE1}"/>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5481A3B-DDC0-44A9-ABB6-F6448DF2CE1F}"/>
    <cellStyle name="20% - Accent3 2 2 2 4 2 3" xfId="12140" xr:uid="{4A8649DE-723F-4DB5-944C-17531D70F5CC}"/>
    <cellStyle name="20% - Accent3 2 2 2 4 3" xfId="5763" xr:uid="{00000000-0005-0000-0000-000050010000}"/>
    <cellStyle name="20% - Accent3 2 2 2 4 3 2" xfId="14213" xr:uid="{54998F28-84DE-4F88-A2F6-7B1905D111CC}"/>
    <cellStyle name="20% - Accent3 2 2 2 4 4" xfId="9995" xr:uid="{F2CD8A11-99AC-489B-9F2F-E2DEEEEBB15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27A75124-847F-43A4-9C0A-EC99940527ED}"/>
    <cellStyle name="20% - Accent3 2 2 2 5 2 3" xfId="12553" xr:uid="{6540B8FC-93D8-4C67-B0F4-1B0C53D95CFB}"/>
    <cellStyle name="20% - Accent3 2 2 2 5 3" xfId="6176" xr:uid="{00000000-0005-0000-0000-000054010000}"/>
    <cellStyle name="20% - Accent3 2 2 2 5 3 2" xfId="14626" xr:uid="{031BE5D4-C440-4A0E-814E-D227F28B5664}"/>
    <cellStyle name="20% - Accent3 2 2 2 5 4" xfId="10408" xr:uid="{3313BAA7-2BCA-455B-8391-F25F8FB94675}"/>
    <cellStyle name="20% - Accent3 2 2 2 6" xfId="2283" xr:uid="{00000000-0005-0000-0000-000055010000}"/>
    <cellStyle name="20% - Accent3 2 2 2 6 2" xfId="6589" xr:uid="{00000000-0005-0000-0000-000056010000}"/>
    <cellStyle name="20% - Accent3 2 2 2 6 2 2" xfId="15039" xr:uid="{5D30864B-3676-4B44-9614-3E3BA32C1932}"/>
    <cellStyle name="20% - Accent3 2 2 2 6 3" xfId="10821" xr:uid="{920EB8D3-1BBC-4D18-8DA1-9D04F2AB2DBB}"/>
    <cellStyle name="20% - Accent3 2 2 2 7" xfId="4523" xr:uid="{00000000-0005-0000-0000-000057010000}"/>
    <cellStyle name="20% - Accent3 2 2 2 7 2" xfId="12973" xr:uid="{29C4E478-790E-469C-86B3-D2945D6E9CE2}"/>
    <cellStyle name="20% - Accent3 2 2 2 8" xfId="8755" xr:uid="{0DA10CB5-AEFE-483E-858D-9432C8DA930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1D3E90F4-B003-4DD9-8AF6-FBBA584D2E11}"/>
    <cellStyle name="20% - Accent3 2 2 3 2 3" xfId="11313" xr:uid="{4248A2EE-7202-466B-AA89-2FAECA270BC3}"/>
    <cellStyle name="20% - Accent3 2 2 3 3" xfId="4936" xr:uid="{00000000-0005-0000-0000-00005B010000}"/>
    <cellStyle name="20% - Accent3 2 2 3 3 2" xfId="13386" xr:uid="{BBBB66D1-48F9-4787-A209-95842ED4D6E2}"/>
    <cellStyle name="20% - Accent3 2 2 3 4" xfId="9168" xr:uid="{3F4F3E1F-ACDB-4240-B30D-35998EB62B29}"/>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405EC991-8A33-4E36-83A3-AD4F6D4F303F}"/>
    <cellStyle name="20% - Accent3 2 2 4 2 3" xfId="11726" xr:uid="{59F0E4C6-FDB9-4247-A9AF-EEFD98FB2806}"/>
    <cellStyle name="20% - Accent3 2 2 4 3" xfId="5349" xr:uid="{00000000-0005-0000-0000-00005F010000}"/>
    <cellStyle name="20% - Accent3 2 2 4 3 2" xfId="13799" xr:uid="{BC085894-6353-4B40-97B5-23BC308B57A8}"/>
    <cellStyle name="20% - Accent3 2 2 4 4" xfId="9581" xr:uid="{E29F927E-1F13-4D08-828E-50F7A01D4C0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AE7726E6-BCD3-418B-9889-EB2E6BA98142}"/>
    <cellStyle name="20% - Accent3 2 2 5 2 3" xfId="12139" xr:uid="{92D1A08E-8A39-416C-B753-F18B3F96595C}"/>
    <cellStyle name="20% - Accent3 2 2 5 3" xfId="5762" xr:uid="{00000000-0005-0000-0000-000063010000}"/>
    <cellStyle name="20% - Accent3 2 2 5 3 2" xfId="14212" xr:uid="{50EECDAE-3A78-4161-9D32-73A19A33BA3D}"/>
    <cellStyle name="20% - Accent3 2 2 5 4" xfId="9994" xr:uid="{CE0417FD-F18F-4E46-BF90-FE798289E7BD}"/>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73CEC74B-2508-4939-BF63-82330B7D8A48}"/>
    <cellStyle name="20% - Accent3 2 2 6 2 3" xfId="12552" xr:uid="{5E66C301-94A0-48B3-A139-BCCCFC14E620}"/>
    <cellStyle name="20% - Accent3 2 2 6 3" xfId="6175" xr:uid="{00000000-0005-0000-0000-000067010000}"/>
    <cellStyle name="20% - Accent3 2 2 6 3 2" xfId="14625" xr:uid="{5799296B-C5C9-4AA5-9D28-43E3F52009DE}"/>
    <cellStyle name="20% - Accent3 2 2 6 4" xfId="10407" xr:uid="{425F62ED-4D3D-48C3-B6FE-7584D77D57A1}"/>
    <cellStyle name="20% - Accent3 2 2 7" xfId="2282" xr:uid="{00000000-0005-0000-0000-000068010000}"/>
    <cellStyle name="20% - Accent3 2 2 7 2" xfId="6588" xr:uid="{00000000-0005-0000-0000-000069010000}"/>
    <cellStyle name="20% - Accent3 2 2 7 2 2" xfId="15038" xr:uid="{C06E5BBB-0D1C-457F-B0FB-9AB172746DEA}"/>
    <cellStyle name="20% - Accent3 2 2 7 3" xfId="10820" xr:uid="{90D4AC4B-CC70-4865-BB02-632D8F74FD1E}"/>
    <cellStyle name="20% - Accent3 2 2 8" xfId="4522" xr:uid="{00000000-0005-0000-0000-00006A010000}"/>
    <cellStyle name="20% - Accent3 2 2 8 2" xfId="12972" xr:uid="{83FB28AD-5060-45C1-A17F-2C2E3B1A78DC}"/>
    <cellStyle name="20% - Accent3 2 2 9" xfId="8754" xr:uid="{5FD55F2B-CE9C-423E-B505-FED8B0DBA1C6}"/>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FD03644D-682C-4595-B4C1-4B9A98DEBB90}"/>
    <cellStyle name="20% - Accent3 2 3 2 2 3" xfId="11315" xr:uid="{24690817-A356-4901-BC9F-40A7E6DB7858}"/>
    <cellStyle name="20% - Accent3 2 3 2 3" xfId="4938" xr:uid="{00000000-0005-0000-0000-00006F010000}"/>
    <cellStyle name="20% - Accent3 2 3 2 3 2" xfId="13388" xr:uid="{081F431E-7CBD-4004-9ADE-C1D6D07843E5}"/>
    <cellStyle name="20% - Accent3 2 3 2 4" xfId="9170" xr:uid="{917854BE-80B8-4698-B0D4-5C44C8ADCA62}"/>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29A4CC3E-D500-48BA-82CD-FA874414C7D3}"/>
    <cellStyle name="20% - Accent3 2 3 3 2 3" xfId="11728" xr:uid="{CE3A0FDE-D2FD-44C8-890E-8010EC7D9A1F}"/>
    <cellStyle name="20% - Accent3 2 3 3 3" xfId="5351" xr:uid="{00000000-0005-0000-0000-000073010000}"/>
    <cellStyle name="20% - Accent3 2 3 3 3 2" xfId="13801" xr:uid="{FC1B45D5-CBA6-483E-964A-41BF372A5BC0}"/>
    <cellStyle name="20% - Accent3 2 3 3 4" xfId="9583" xr:uid="{69619A1E-9183-47EF-BA53-DCFF0639E50D}"/>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3FB16904-9476-4AC1-9AE8-4741187933DD}"/>
    <cellStyle name="20% - Accent3 2 3 4 2 3" xfId="12141" xr:uid="{5174D731-A975-43C7-A126-5F291740CC21}"/>
    <cellStyle name="20% - Accent3 2 3 4 3" xfId="5764" xr:uid="{00000000-0005-0000-0000-000077010000}"/>
    <cellStyle name="20% - Accent3 2 3 4 3 2" xfId="14214" xr:uid="{6D36C0ED-F776-4169-862C-687377B590D9}"/>
    <cellStyle name="20% - Accent3 2 3 4 4" xfId="9996" xr:uid="{635C1A52-B76E-436A-999F-A602E20FA048}"/>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085E2E66-8FEC-4B86-86BB-F84E607F0ABA}"/>
    <cellStyle name="20% - Accent3 2 3 5 2 3" xfId="12554" xr:uid="{FCA46FF2-39C0-4924-AD17-D4C18458B6B0}"/>
    <cellStyle name="20% - Accent3 2 3 5 3" xfId="6177" xr:uid="{00000000-0005-0000-0000-00007B010000}"/>
    <cellStyle name="20% - Accent3 2 3 5 3 2" xfId="14627" xr:uid="{96A9A4F5-D6EE-4C77-B8C1-12A484502AC4}"/>
    <cellStyle name="20% - Accent3 2 3 5 4" xfId="10409" xr:uid="{DCE5007B-6BA4-4F54-A30A-93D004899571}"/>
    <cellStyle name="20% - Accent3 2 3 6" xfId="2284" xr:uid="{00000000-0005-0000-0000-00007C010000}"/>
    <cellStyle name="20% - Accent3 2 3 6 2" xfId="6590" xr:uid="{00000000-0005-0000-0000-00007D010000}"/>
    <cellStyle name="20% - Accent3 2 3 6 2 2" xfId="15040" xr:uid="{86AA9C05-BA9C-4BD4-B1E2-6961904267D2}"/>
    <cellStyle name="20% - Accent3 2 3 6 3" xfId="10822" xr:uid="{E216FB6C-3C29-4A7F-B2EE-576CD5E3D148}"/>
    <cellStyle name="20% - Accent3 2 3 7" xfId="4524" xr:uid="{00000000-0005-0000-0000-00007E010000}"/>
    <cellStyle name="20% - Accent3 2 3 7 2" xfId="12974" xr:uid="{0F57D7A2-FE2D-4C2F-96D8-78390A8E12CF}"/>
    <cellStyle name="20% - Accent3 2 3 8" xfId="8756" xr:uid="{5D369D6A-9E0E-478A-95C2-F40C814D4ABC}"/>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887C04E0-E775-475E-96CC-321ED40FC74D}"/>
    <cellStyle name="20% - Accent3 2 4 2 3" xfId="11312" xr:uid="{9224BEE6-83E7-4A46-9BA3-80434AE03948}"/>
    <cellStyle name="20% - Accent3 2 4 3" xfId="4935" xr:uid="{00000000-0005-0000-0000-000082010000}"/>
    <cellStyle name="20% - Accent3 2 4 3 2" xfId="13385" xr:uid="{3B904E3D-0AEE-4E8C-8160-63EF779BB752}"/>
    <cellStyle name="20% - Accent3 2 4 4" xfId="9167" xr:uid="{E440F118-BEF7-419D-8960-D6EEA4DA4624}"/>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8CC9267A-D02F-4821-B08F-0A7E98388CDA}"/>
    <cellStyle name="20% - Accent3 2 5 2 3" xfId="11725" xr:uid="{B5E0484C-4DC5-4318-A51B-2BCD263DC298}"/>
    <cellStyle name="20% - Accent3 2 5 3" xfId="5348" xr:uid="{00000000-0005-0000-0000-000086010000}"/>
    <cellStyle name="20% - Accent3 2 5 3 2" xfId="13798" xr:uid="{E4F80AFE-59C3-47B3-AD75-64F8C1E76F54}"/>
    <cellStyle name="20% - Accent3 2 5 4" xfId="9580" xr:uid="{470F7BE2-480C-4E27-B7A6-D89F9B32C59E}"/>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18C7EE53-CE08-4CF8-A872-F1C04575D8B9}"/>
    <cellStyle name="20% - Accent3 2 6 2 3" xfId="12138" xr:uid="{FC52A9AE-8F46-46C7-AB88-2A9300068386}"/>
    <cellStyle name="20% - Accent3 2 6 3" xfId="5761" xr:uid="{00000000-0005-0000-0000-00008A010000}"/>
    <cellStyle name="20% - Accent3 2 6 3 2" xfId="14211" xr:uid="{10852F94-EB43-458E-9AA0-5F3E3D89BDE4}"/>
    <cellStyle name="20% - Accent3 2 6 4" xfId="9993" xr:uid="{EAA57872-E0FE-424B-BB89-95DFC0ED1F13}"/>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3DE54966-CDB9-4E03-BD00-4446C2E11DFA}"/>
    <cellStyle name="20% - Accent3 2 7 2 3" xfId="12551" xr:uid="{569C761D-BACD-4FE0-844F-7F53E4FD1A00}"/>
    <cellStyle name="20% - Accent3 2 7 3" xfId="6174" xr:uid="{00000000-0005-0000-0000-00008E010000}"/>
    <cellStyle name="20% - Accent3 2 7 3 2" xfId="14624" xr:uid="{F54D87F4-8DC9-4F77-B4DB-BEA1FE5D25AA}"/>
    <cellStyle name="20% - Accent3 2 7 4" xfId="10406" xr:uid="{56E07035-8EED-4331-A32B-5D09F277C9E9}"/>
    <cellStyle name="20% - Accent3 2 8" xfId="2281" xr:uid="{00000000-0005-0000-0000-00008F010000}"/>
    <cellStyle name="20% - Accent3 2 8 2" xfId="6587" xr:uid="{00000000-0005-0000-0000-000090010000}"/>
    <cellStyle name="20% - Accent3 2 8 2 2" xfId="15037" xr:uid="{F192AFAB-031B-44CC-AFE1-003816B8E75C}"/>
    <cellStyle name="20% - Accent3 2 8 3" xfId="10819" xr:uid="{DCC04E02-25F2-4D3D-84D9-19C303610448}"/>
    <cellStyle name="20% - Accent3 2 9" xfId="4521" xr:uid="{00000000-0005-0000-0000-000091010000}"/>
    <cellStyle name="20% - Accent3 2 9 2" xfId="12971" xr:uid="{1721E317-B0BE-4FFD-9871-AF62807FC579}"/>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8D403012-8D12-4944-B324-1D53B843E1BD}"/>
    <cellStyle name="20% - Accent3 3 2 2 2 3" xfId="11317" xr:uid="{E3A87A0F-CC41-44ED-8AB7-BED06D0DB972}"/>
    <cellStyle name="20% - Accent3 3 2 2 3" xfId="4940" xr:uid="{00000000-0005-0000-0000-000097010000}"/>
    <cellStyle name="20% - Accent3 3 2 2 3 2" xfId="13390" xr:uid="{BB9FB9AF-C5AC-4539-95DB-C504586335A8}"/>
    <cellStyle name="20% - Accent3 3 2 2 4" xfId="9172" xr:uid="{D4311FFF-9488-49C7-A100-AE9E3334D453}"/>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E0B2C72B-78D4-4593-B246-31051E55932E}"/>
    <cellStyle name="20% - Accent3 3 2 3 2 3" xfId="11730" xr:uid="{6903E410-5E1E-499B-9CAB-984AD097378D}"/>
    <cellStyle name="20% - Accent3 3 2 3 3" xfId="5353" xr:uid="{00000000-0005-0000-0000-00009B010000}"/>
    <cellStyle name="20% - Accent3 3 2 3 3 2" xfId="13803" xr:uid="{E6A34272-4818-4582-A04F-C711582AE1C0}"/>
    <cellStyle name="20% - Accent3 3 2 3 4" xfId="9585" xr:uid="{D64A5272-93C0-4A80-8CE0-DC29A9E62BA2}"/>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44B2B897-C0F8-42B0-8D8F-06E2D479E194}"/>
    <cellStyle name="20% - Accent3 3 2 4 2 3" xfId="12143" xr:uid="{07B79678-2000-428F-AE8B-31B8BFA01285}"/>
    <cellStyle name="20% - Accent3 3 2 4 3" xfId="5766" xr:uid="{00000000-0005-0000-0000-00009F010000}"/>
    <cellStyle name="20% - Accent3 3 2 4 3 2" xfId="14216" xr:uid="{E2428270-A740-4063-88CA-0D9D151F5ABA}"/>
    <cellStyle name="20% - Accent3 3 2 4 4" xfId="9998" xr:uid="{A2D3F99D-7099-4C77-A257-F3E3958906A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4129365A-94CC-4586-8FA7-6D9F4EB1B3B6}"/>
    <cellStyle name="20% - Accent3 3 2 5 2 3" xfId="12556" xr:uid="{89C989F9-04AF-4C89-8E25-73B1AF7CACAD}"/>
    <cellStyle name="20% - Accent3 3 2 5 3" xfId="6179" xr:uid="{00000000-0005-0000-0000-0000A3010000}"/>
    <cellStyle name="20% - Accent3 3 2 5 3 2" xfId="14629" xr:uid="{D69A44D0-961C-4D4D-8780-F6DE2C05E84A}"/>
    <cellStyle name="20% - Accent3 3 2 5 4" xfId="10411" xr:uid="{F2DEA09F-7C02-45A3-A732-F0406A45F990}"/>
    <cellStyle name="20% - Accent3 3 2 6" xfId="2286" xr:uid="{00000000-0005-0000-0000-0000A4010000}"/>
    <cellStyle name="20% - Accent3 3 2 6 2" xfId="6592" xr:uid="{00000000-0005-0000-0000-0000A5010000}"/>
    <cellStyle name="20% - Accent3 3 2 6 2 2" xfId="15042" xr:uid="{292BC156-23D7-4534-9567-333FC6B69ABC}"/>
    <cellStyle name="20% - Accent3 3 2 6 3" xfId="10824" xr:uid="{8BC4C46E-0292-4863-87C2-898E19B7722A}"/>
    <cellStyle name="20% - Accent3 3 2 7" xfId="4526" xr:uid="{00000000-0005-0000-0000-0000A6010000}"/>
    <cellStyle name="20% - Accent3 3 2 7 2" xfId="12976" xr:uid="{4311569E-5165-49B6-BFA6-3FCA35ABF9E0}"/>
    <cellStyle name="20% - Accent3 3 2 8" xfId="8758" xr:uid="{2F3340E1-526B-44A4-AFBB-B0BC63BA98BA}"/>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85DF05FE-DF12-4A4C-A0EC-C7F49AFB45DC}"/>
    <cellStyle name="20% - Accent3 3 3 2 3" xfId="11316" xr:uid="{9D8A75C9-5561-4C16-AB64-BFF6D69E7C2A}"/>
    <cellStyle name="20% - Accent3 3 3 3" xfId="4939" xr:uid="{00000000-0005-0000-0000-0000AA010000}"/>
    <cellStyle name="20% - Accent3 3 3 3 2" xfId="13389" xr:uid="{9786244A-EF18-475B-8FBD-F820D7463168}"/>
    <cellStyle name="20% - Accent3 3 3 4" xfId="9171" xr:uid="{F546B6DF-A440-4428-B237-07122A5FCF4F}"/>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259AA749-AB91-4CEF-8D1C-057022EB7F8D}"/>
    <cellStyle name="20% - Accent3 3 4 2 3" xfId="11729" xr:uid="{AA86CC35-97E4-4825-98E5-2B6D32389522}"/>
    <cellStyle name="20% - Accent3 3 4 3" xfId="5352" xr:uid="{00000000-0005-0000-0000-0000AE010000}"/>
    <cellStyle name="20% - Accent3 3 4 3 2" xfId="13802" xr:uid="{57A567F0-3A04-4439-9309-01E255DCDFFD}"/>
    <cellStyle name="20% - Accent3 3 4 4" xfId="9584" xr:uid="{9140CA90-73C9-414F-9884-1B8ECF7036E4}"/>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03C86254-905F-4E30-87C4-5FEEE951C756}"/>
    <cellStyle name="20% - Accent3 3 5 2 3" xfId="12142" xr:uid="{51F48D55-AB60-47E6-837E-A91A7F69A3AF}"/>
    <cellStyle name="20% - Accent3 3 5 3" xfId="5765" xr:uid="{00000000-0005-0000-0000-0000B2010000}"/>
    <cellStyle name="20% - Accent3 3 5 3 2" xfId="14215" xr:uid="{D733A8F9-8015-4989-80B4-F97AD7DD1EB4}"/>
    <cellStyle name="20% - Accent3 3 5 4" xfId="9997" xr:uid="{AFEFE687-964B-49C5-870A-EE746EBE524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63029E23-8DB2-4624-B1CB-06B495668FCE}"/>
    <cellStyle name="20% - Accent3 3 6 2 3" xfId="12555" xr:uid="{52D02C8D-D044-403F-A7BF-B02CA52A7B3B}"/>
    <cellStyle name="20% - Accent3 3 6 3" xfId="6178" xr:uid="{00000000-0005-0000-0000-0000B6010000}"/>
    <cellStyle name="20% - Accent3 3 6 3 2" xfId="14628" xr:uid="{960CA8ED-E3E2-465B-ADF9-EEFD462F73A6}"/>
    <cellStyle name="20% - Accent3 3 6 4" xfId="10410" xr:uid="{EFF971AA-3362-46EB-8144-CB0078D4B13E}"/>
    <cellStyle name="20% - Accent3 3 7" xfId="2285" xr:uid="{00000000-0005-0000-0000-0000B7010000}"/>
    <cellStyle name="20% - Accent3 3 7 2" xfId="6591" xr:uid="{00000000-0005-0000-0000-0000B8010000}"/>
    <cellStyle name="20% - Accent3 3 7 2 2" xfId="15041" xr:uid="{E55BCCB1-4F64-460A-99BD-A571437C6BF6}"/>
    <cellStyle name="20% - Accent3 3 7 3" xfId="10823" xr:uid="{A71B995E-85F6-449E-8486-9B8D8EB4A6D1}"/>
    <cellStyle name="20% - Accent3 3 8" xfId="4525" xr:uid="{00000000-0005-0000-0000-0000B9010000}"/>
    <cellStyle name="20% - Accent3 3 8 2" xfId="12975" xr:uid="{EB862A68-D4B4-4F79-885D-98C6910A2566}"/>
    <cellStyle name="20% - Accent3 3 9" xfId="8757" xr:uid="{DEFC7FE8-AD28-404D-B1A1-0F13953A31C7}"/>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36EEA269-5D3A-4F4A-8C5A-7A287A6E98D8}"/>
    <cellStyle name="20% - Accent3 4 2 2 3" xfId="11318" xr:uid="{EF6E1BB3-B459-48A6-9025-139C9C4EAA83}"/>
    <cellStyle name="20% - Accent3 4 2 3" xfId="4941" xr:uid="{00000000-0005-0000-0000-0000BE010000}"/>
    <cellStyle name="20% - Accent3 4 2 3 2" xfId="13391" xr:uid="{29605990-068B-4695-B707-9C73C21A60A6}"/>
    <cellStyle name="20% - Accent3 4 2 4" xfId="9173" xr:uid="{2C851F5F-B734-4794-85B0-A5336F342D84}"/>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E2B5C77A-9D14-4535-9FF3-BE795AD2EEE8}"/>
    <cellStyle name="20% - Accent3 4 3 2 3" xfId="11731" xr:uid="{0366EE2F-3280-404C-BC7B-6A1F99E9D55F}"/>
    <cellStyle name="20% - Accent3 4 3 3" xfId="5354" xr:uid="{00000000-0005-0000-0000-0000C2010000}"/>
    <cellStyle name="20% - Accent3 4 3 3 2" xfId="13804" xr:uid="{A4C69943-117A-4352-9F9D-7CCE4C4A0524}"/>
    <cellStyle name="20% - Accent3 4 3 4" xfId="9586" xr:uid="{8BFC598A-29EB-4BFD-B2A5-D39B0AB8CED0}"/>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E3C0717B-EF62-4F9D-A4EC-2C54BFEEB5ED}"/>
    <cellStyle name="20% - Accent3 4 4 2 3" xfId="12144" xr:uid="{5C9B1DAF-F351-44B4-922B-6E7DEE6A0EC8}"/>
    <cellStyle name="20% - Accent3 4 4 3" xfId="5767" xr:uid="{00000000-0005-0000-0000-0000C6010000}"/>
    <cellStyle name="20% - Accent3 4 4 3 2" xfId="14217" xr:uid="{F3CA15AA-96FE-4B69-8CFF-90FDF56AF918}"/>
    <cellStyle name="20% - Accent3 4 4 4" xfId="9999" xr:uid="{FA02C762-E0E9-46C3-AC23-950ADB908C9F}"/>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CE7662AF-13A7-4480-9A0D-473F654040D9}"/>
    <cellStyle name="20% - Accent3 4 5 2 3" xfId="12557" xr:uid="{98049D45-41D9-448C-8F6B-B1AD026675AB}"/>
    <cellStyle name="20% - Accent3 4 5 3" xfId="6180" xr:uid="{00000000-0005-0000-0000-0000CA010000}"/>
    <cellStyle name="20% - Accent3 4 5 3 2" xfId="14630" xr:uid="{EBF59488-E967-4CD1-997E-AF92697067BC}"/>
    <cellStyle name="20% - Accent3 4 5 4" xfId="10412" xr:uid="{E8A024E7-D4C6-41CD-BC4E-97FCCFEA6517}"/>
    <cellStyle name="20% - Accent3 4 6" xfId="2287" xr:uid="{00000000-0005-0000-0000-0000CB010000}"/>
    <cellStyle name="20% - Accent3 4 6 2" xfId="6593" xr:uid="{00000000-0005-0000-0000-0000CC010000}"/>
    <cellStyle name="20% - Accent3 4 6 2 2" xfId="15043" xr:uid="{48EE26B3-A59C-43E9-906D-6BADFCAFDF81}"/>
    <cellStyle name="20% - Accent3 4 6 3" xfId="10825" xr:uid="{84D7D769-F7E5-441B-84BB-75636113A559}"/>
    <cellStyle name="20% - Accent3 4 7" xfId="4527" xr:uid="{00000000-0005-0000-0000-0000CD010000}"/>
    <cellStyle name="20% - Accent3 4 7 2" xfId="12977" xr:uid="{7F168B96-F42A-485E-803A-5CFCC67C2103}"/>
    <cellStyle name="20% - Accent3 4 8" xfId="8759" xr:uid="{3C18F992-96AF-4CEF-AFCA-D7CFE736A5FC}"/>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6421699C-D638-47C2-83E5-0D0EC113CEB8}"/>
    <cellStyle name="20% - Accent3 5 2 3" xfId="11311" xr:uid="{BBABFB2D-30DE-47EE-9B12-2D938F009BEF}"/>
    <cellStyle name="20% - Accent3 5 3" xfId="4934" xr:uid="{00000000-0005-0000-0000-0000D1010000}"/>
    <cellStyle name="20% - Accent3 5 3 2" xfId="13384" xr:uid="{A1C18035-2FB2-4611-84A5-5EC6768389C5}"/>
    <cellStyle name="20% - Accent3 5 4" xfId="9166" xr:uid="{EB1930E6-5B65-4F07-AFA6-7B06763C1895}"/>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276D1D74-A0E5-4963-995E-7F3D80E491B0}"/>
    <cellStyle name="20% - Accent3 6 2 3" xfId="11724" xr:uid="{D1FD3A66-3CBA-461D-9CAE-ADA0BEC3D986}"/>
    <cellStyle name="20% - Accent3 6 3" xfId="5347" xr:uid="{00000000-0005-0000-0000-0000D5010000}"/>
    <cellStyle name="20% - Accent3 6 3 2" xfId="13797" xr:uid="{E39D01C0-848C-4B05-B94F-F43935AD98CC}"/>
    <cellStyle name="20% - Accent3 6 4" xfId="9579" xr:uid="{0902A0F0-3A2B-4D05-8A0C-DB0960715EE4}"/>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BCD8603C-E759-48DE-AFE7-14EDEBEB0026}"/>
    <cellStyle name="20% - Accent3 7 2 3" xfId="12137" xr:uid="{73A633FE-5816-40CB-B017-B3C818D0B66C}"/>
    <cellStyle name="20% - Accent3 7 3" xfId="5760" xr:uid="{00000000-0005-0000-0000-0000D9010000}"/>
    <cellStyle name="20% - Accent3 7 3 2" xfId="14210" xr:uid="{A4116B5C-181E-41CC-8487-A16649984E21}"/>
    <cellStyle name="20% - Accent3 7 4" xfId="9992" xr:uid="{A50789AC-C17A-443D-A977-D6ACD60BA1B9}"/>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5D221C54-A892-42C3-AE78-1C103D361A69}"/>
    <cellStyle name="20% - Accent3 8 2 3" xfId="12550" xr:uid="{B1AB4190-F639-4E40-8241-F67E291A1004}"/>
    <cellStyle name="20% - Accent3 8 3" xfId="6173" xr:uid="{00000000-0005-0000-0000-0000DD010000}"/>
    <cellStyle name="20% - Accent3 8 3 2" xfId="14623" xr:uid="{E3BA99A9-9195-4B0F-A9D6-8410CEB6983A}"/>
    <cellStyle name="20% - Accent3 8 4" xfId="10405" xr:uid="{DF10F2F9-0665-4E1E-BF82-C4772D5E102B}"/>
    <cellStyle name="20% - Accent3 9" xfId="2280" xr:uid="{00000000-0005-0000-0000-0000DE010000}"/>
    <cellStyle name="20% - Accent3 9 2" xfId="6586" xr:uid="{00000000-0005-0000-0000-0000DF010000}"/>
    <cellStyle name="20% - Accent3 9 2 2" xfId="15036" xr:uid="{62C630C0-E524-4006-AAC2-E899393E546D}"/>
    <cellStyle name="20% - Accent3 9 3" xfId="10818" xr:uid="{CEDFAAB1-2359-47D1-BAFE-CA194294C737}"/>
    <cellStyle name="20% - Accent4" xfId="25" builtinId="42" customBuiltin="1"/>
    <cellStyle name="20% - Accent4 10" xfId="4528" xr:uid="{00000000-0005-0000-0000-0000E1010000}"/>
    <cellStyle name="20% - Accent4 10 2" xfId="12978" xr:uid="{18749F50-2EC7-4CEE-B7FF-54DDBD4E78C0}"/>
    <cellStyle name="20% - Accent4 11" xfId="8760" xr:uid="{D33825F9-3B31-4AD7-AD82-FBFFC084F30F}"/>
    <cellStyle name="20% - Accent4 2" xfId="26" xr:uid="{00000000-0005-0000-0000-0000E2010000}"/>
    <cellStyle name="20% - Accent4 2 10" xfId="8761" xr:uid="{91C49A67-0C15-49F3-9317-9820C9251F39}"/>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D8E114EB-5075-4A97-9100-88BC1312214E}"/>
    <cellStyle name="20% - Accent4 2 2 2 2 2 3" xfId="11322" xr:uid="{8CD7D28B-D0DE-4FC2-82AC-06AF942DB16A}"/>
    <cellStyle name="20% - Accent4 2 2 2 2 3" xfId="4945" xr:uid="{00000000-0005-0000-0000-0000E8010000}"/>
    <cellStyle name="20% - Accent4 2 2 2 2 3 2" xfId="13395" xr:uid="{EA5B8DE8-AF25-4E9F-8A96-EDE9C35309E3}"/>
    <cellStyle name="20% - Accent4 2 2 2 2 4" xfId="9177" xr:uid="{1AB273D7-1C9A-4131-9E42-9055D4AF3089}"/>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CE9A7269-B62C-4134-95F6-FED2FC7EFFD2}"/>
    <cellStyle name="20% - Accent4 2 2 2 3 2 3" xfId="11735" xr:uid="{98B96F37-9632-4A4B-93B3-AE22041AFEA4}"/>
    <cellStyle name="20% - Accent4 2 2 2 3 3" xfId="5358" xr:uid="{00000000-0005-0000-0000-0000EC010000}"/>
    <cellStyle name="20% - Accent4 2 2 2 3 3 2" xfId="13808" xr:uid="{34BF5B94-F42A-415E-A489-414BCAD9F585}"/>
    <cellStyle name="20% - Accent4 2 2 2 3 4" xfId="9590" xr:uid="{7C46D949-D7F7-4DA2-B8B5-02B7E3ECC373}"/>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336F13E3-943E-42AB-8D05-C8881EB714F7}"/>
    <cellStyle name="20% - Accent4 2 2 2 4 2 3" xfId="12148" xr:uid="{972AF523-3BD9-4A16-8B1A-847373C1C296}"/>
    <cellStyle name="20% - Accent4 2 2 2 4 3" xfId="5771" xr:uid="{00000000-0005-0000-0000-0000F0010000}"/>
    <cellStyle name="20% - Accent4 2 2 2 4 3 2" xfId="14221" xr:uid="{F475F67B-845F-4730-972C-EE47E015CC9A}"/>
    <cellStyle name="20% - Accent4 2 2 2 4 4" xfId="10003" xr:uid="{620CF778-78C1-4EB4-A348-7CF0317E5BE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4F4D3E68-8D85-4B07-A1BC-7BD2172F8416}"/>
    <cellStyle name="20% - Accent4 2 2 2 5 2 3" xfId="12561" xr:uid="{E58BE0C8-FF48-4870-A0B5-BE23C493C4EC}"/>
    <cellStyle name="20% - Accent4 2 2 2 5 3" xfId="6184" xr:uid="{00000000-0005-0000-0000-0000F4010000}"/>
    <cellStyle name="20% - Accent4 2 2 2 5 3 2" xfId="14634" xr:uid="{8B76FBC3-3D52-4F6C-A7CC-D6F2A4704654}"/>
    <cellStyle name="20% - Accent4 2 2 2 5 4" xfId="10416" xr:uid="{6935C6D8-CA9D-4823-B7C9-9C286ACD53F1}"/>
    <cellStyle name="20% - Accent4 2 2 2 6" xfId="2291" xr:uid="{00000000-0005-0000-0000-0000F5010000}"/>
    <cellStyle name="20% - Accent4 2 2 2 6 2" xfId="6597" xr:uid="{00000000-0005-0000-0000-0000F6010000}"/>
    <cellStyle name="20% - Accent4 2 2 2 6 2 2" xfId="15047" xr:uid="{78605E0B-B9F9-472F-ACD9-76CD1443A707}"/>
    <cellStyle name="20% - Accent4 2 2 2 6 3" xfId="10829" xr:uid="{FED4B12C-9860-457D-B747-4150536C3782}"/>
    <cellStyle name="20% - Accent4 2 2 2 7" xfId="4531" xr:uid="{00000000-0005-0000-0000-0000F7010000}"/>
    <cellStyle name="20% - Accent4 2 2 2 7 2" xfId="12981" xr:uid="{D2EFC395-A7D7-4743-BEF7-E21B1793DAE8}"/>
    <cellStyle name="20% - Accent4 2 2 2 8" xfId="8763" xr:uid="{8F13BFEA-88FE-4624-9BDC-6B95F781776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B4B7A841-E011-4345-9A3E-8F831BB1EDDF}"/>
    <cellStyle name="20% - Accent4 2 2 3 2 3" xfId="11321" xr:uid="{E0F64BE0-E05E-4914-A76B-E51B17362006}"/>
    <cellStyle name="20% - Accent4 2 2 3 3" xfId="4944" xr:uid="{00000000-0005-0000-0000-0000FB010000}"/>
    <cellStyle name="20% - Accent4 2 2 3 3 2" xfId="13394" xr:uid="{CA05EFD7-EF12-43D8-A99C-30FB331D5333}"/>
    <cellStyle name="20% - Accent4 2 2 3 4" xfId="9176" xr:uid="{98265297-5E53-443F-999B-00D10033DDBE}"/>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DEB80F31-2A5B-4339-9B1B-6E9899001421}"/>
    <cellStyle name="20% - Accent4 2 2 4 2 3" xfId="11734" xr:uid="{45773920-9820-4EF5-893F-4542353E19D4}"/>
    <cellStyle name="20% - Accent4 2 2 4 3" xfId="5357" xr:uid="{00000000-0005-0000-0000-0000FF010000}"/>
    <cellStyle name="20% - Accent4 2 2 4 3 2" xfId="13807" xr:uid="{21341080-00FF-4E16-A9C9-99E343BD5DAA}"/>
    <cellStyle name="20% - Accent4 2 2 4 4" xfId="9589" xr:uid="{67CB2E68-3DE3-4924-A533-DAF70E5E70AD}"/>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BE8DEA14-FF47-47D5-995F-3383560DE272}"/>
    <cellStyle name="20% - Accent4 2 2 5 2 3" xfId="12147" xr:uid="{E96AEBEB-E309-40A0-81F0-351BC5CA9C79}"/>
    <cellStyle name="20% - Accent4 2 2 5 3" xfId="5770" xr:uid="{00000000-0005-0000-0000-000003020000}"/>
    <cellStyle name="20% - Accent4 2 2 5 3 2" xfId="14220" xr:uid="{935A1610-D302-498A-8ED0-F77B51A95A70}"/>
    <cellStyle name="20% - Accent4 2 2 5 4" xfId="10002" xr:uid="{6401661A-AB7B-4845-BA72-27BBC1550B67}"/>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C42327A2-E819-491E-8B04-04C0B5FCF60F}"/>
    <cellStyle name="20% - Accent4 2 2 6 2 3" xfId="12560" xr:uid="{5D1998BD-B0C5-46D4-8024-DD58EB9CFC53}"/>
    <cellStyle name="20% - Accent4 2 2 6 3" xfId="6183" xr:uid="{00000000-0005-0000-0000-000007020000}"/>
    <cellStyle name="20% - Accent4 2 2 6 3 2" xfId="14633" xr:uid="{08AFF96E-3ECE-4A83-A9A7-E6EF8CAC3F3C}"/>
    <cellStyle name="20% - Accent4 2 2 6 4" xfId="10415" xr:uid="{77EDFA94-324F-4DB8-BE6F-39D7AA476194}"/>
    <cellStyle name="20% - Accent4 2 2 7" xfId="2290" xr:uid="{00000000-0005-0000-0000-000008020000}"/>
    <cellStyle name="20% - Accent4 2 2 7 2" xfId="6596" xr:uid="{00000000-0005-0000-0000-000009020000}"/>
    <cellStyle name="20% - Accent4 2 2 7 2 2" xfId="15046" xr:uid="{584CCAFE-50F5-4E7E-9B2E-B79E1C1E17BE}"/>
    <cellStyle name="20% - Accent4 2 2 7 3" xfId="10828" xr:uid="{F4A62B8C-569F-4696-A10E-4F5A0B65EE2C}"/>
    <cellStyle name="20% - Accent4 2 2 8" xfId="4530" xr:uid="{00000000-0005-0000-0000-00000A020000}"/>
    <cellStyle name="20% - Accent4 2 2 8 2" xfId="12980" xr:uid="{81A43E77-4BF0-4601-9853-72AAB38B52C6}"/>
    <cellStyle name="20% - Accent4 2 2 9" xfId="8762" xr:uid="{98AC51F9-0656-4099-AC89-C646F4EFADF1}"/>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D732C13A-2F2D-4E72-8355-DE1E3FA734B8}"/>
    <cellStyle name="20% - Accent4 2 3 2 2 3" xfId="11323" xr:uid="{D5DC9F19-8DD9-4413-949B-FF4EE66A4D51}"/>
    <cellStyle name="20% - Accent4 2 3 2 3" xfId="4946" xr:uid="{00000000-0005-0000-0000-00000F020000}"/>
    <cellStyle name="20% - Accent4 2 3 2 3 2" xfId="13396" xr:uid="{BD44419F-9A7D-4474-AB29-1209314DBFE6}"/>
    <cellStyle name="20% - Accent4 2 3 2 4" xfId="9178" xr:uid="{47BCFA5B-8BCB-47C1-B82F-A762C9549E00}"/>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FE5D3483-2DBA-4E4A-BD5D-557414001947}"/>
    <cellStyle name="20% - Accent4 2 3 3 2 3" xfId="11736" xr:uid="{8E49ED30-C5B6-4F26-AF7C-597E5EF0ECD6}"/>
    <cellStyle name="20% - Accent4 2 3 3 3" xfId="5359" xr:uid="{00000000-0005-0000-0000-000013020000}"/>
    <cellStyle name="20% - Accent4 2 3 3 3 2" xfId="13809" xr:uid="{D045D191-2C1B-41CE-8F69-5F54B0A9DC68}"/>
    <cellStyle name="20% - Accent4 2 3 3 4" xfId="9591" xr:uid="{7695628C-5221-4813-AC0F-477189BEA8E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7BB5C0FD-F653-4B86-B124-01D3580EF31C}"/>
    <cellStyle name="20% - Accent4 2 3 4 2 3" xfId="12149" xr:uid="{616B79B0-C838-44AA-8FE1-9217B33BA427}"/>
    <cellStyle name="20% - Accent4 2 3 4 3" xfId="5772" xr:uid="{00000000-0005-0000-0000-000017020000}"/>
    <cellStyle name="20% - Accent4 2 3 4 3 2" xfId="14222" xr:uid="{8229293D-014C-4603-ABB9-D10FEB345D74}"/>
    <cellStyle name="20% - Accent4 2 3 4 4" xfId="10004" xr:uid="{AA06CC2A-09E1-47A4-9CD5-2B1C20D5CE5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928A410A-E441-432B-ABA7-F3FB0A5A0663}"/>
    <cellStyle name="20% - Accent4 2 3 5 2 3" xfId="12562" xr:uid="{A71E8D51-CBA3-4121-AAA1-5103349FF39A}"/>
    <cellStyle name="20% - Accent4 2 3 5 3" xfId="6185" xr:uid="{00000000-0005-0000-0000-00001B020000}"/>
    <cellStyle name="20% - Accent4 2 3 5 3 2" xfId="14635" xr:uid="{8513E8B6-FF2F-4C24-AF24-ACFDC3703C14}"/>
    <cellStyle name="20% - Accent4 2 3 5 4" xfId="10417" xr:uid="{4401600A-6F71-4A25-A3C0-E2FAB6246E97}"/>
    <cellStyle name="20% - Accent4 2 3 6" xfId="2292" xr:uid="{00000000-0005-0000-0000-00001C020000}"/>
    <cellStyle name="20% - Accent4 2 3 6 2" xfId="6598" xr:uid="{00000000-0005-0000-0000-00001D020000}"/>
    <cellStyle name="20% - Accent4 2 3 6 2 2" xfId="15048" xr:uid="{C9207390-2F4D-44F1-9A5A-AAEF97FB9D5B}"/>
    <cellStyle name="20% - Accent4 2 3 6 3" xfId="10830" xr:uid="{8C70C32A-C71C-4FCE-8C8C-5D4DF72C41EF}"/>
    <cellStyle name="20% - Accent4 2 3 7" xfId="4532" xr:uid="{00000000-0005-0000-0000-00001E020000}"/>
    <cellStyle name="20% - Accent4 2 3 7 2" xfId="12982" xr:uid="{E38FCD53-DEB3-4C2B-9C38-76463315F987}"/>
    <cellStyle name="20% - Accent4 2 3 8" xfId="8764" xr:uid="{85249034-77A1-42D6-AA78-FB89E36CB9C6}"/>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ABA19117-0C92-4134-B994-993296CC28E1}"/>
    <cellStyle name="20% - Accent4 2 4 2 3" xfId="11320" xr:uid="{9EB84607-F981-4539-B700-2EF5749CB146}"/>
    <cellStyle name="20% - Accent4 2 4 3" xfId="4943" xr:uid="{00000000-0005-0000-0000-000022020000}"/>
    <cellStyle name="20% - Accent4 2 4 3 2" xfId="13393" xr:uid="{B0A36136-A90F-4065-B0C9-5EE4B486EEE3}"/>
    <cellStyle name="20% - Accent4 2 4 4" xfId="9175" xr:uid="{A01B9B71-745D-4D53-B170-C3CE6ACFCED1}"/>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C3FAB03D-CD4E-42E8-9A02-40C458C4ECE8}"/>
    <cellStyle name="20% - Accent4 2 5 2 3" xfId="11733" xr:uid="{C688E8EB-7AF9-48C0-B225-B3BEF29E66D7}"/>
    <cellStyle name="20% - Accent4 2 5 3" xfId="5356" xr:uid="{00000000-0005-0000-0000-000026020000}"/>
    <cellStyle name="20% - Accent4 2 5 3 2" xfId="13806" xr:uid="{0F0BEC89-237E-4CA1-9FE0-615B387569FD}"/>
    <cellStyle name="20% - Accent4 2 5 4" xfId="9588" xr:uid="{A74578C3-0550-402B-AF83-CD73D7BED2A1}"/>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AB3F3116-5C2D-4E06-A50F-F6A542954638}"/>
    <cellStyle name="20% - Accent4 2 6 2 3" xfId="12146" xr:uid="{5D107BC6-69AA-418E-B109-D2D3F5241F9F}"/>
    <cellStyle name="20% - Accent4 2 6 3" xfId="5769" xr:uid="{00000000-0005-0000-0000-00002A020000}"/>
    <cellStyle name="20% - Accent4 2 6 3 2" xfId="14219" xr:uid="{337354C2-19F3-4D5C-8AEE-C4EE6A9E0209}"/>
    <cellStyle name="20% - Accent4 2 6 4" xfId="10001" xr:uid="{2FA265E0-D943-4C0E-B4D1-104DE378CB3A}"/>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6E6E3CC5-A904-4783-BB7A-28CA9D18DCFE}"/>
    <cellStyle name="20% - Accent4 2 7 2 3" xfId="12559" xr:uid="{59CB7B23-FD37-4965-9E5E-78630AA40CF9}"/>
    <cellStyle name="20% - Accent4 2 7 3" xfId="6182" xr:uid="{00000000-0005-0000-0000-00002E020000}"/>
    <cellStyle name="20% - Accent4 2 7 3 2" xfId="14632" xr:uid="{F8DBFB36-6172-49D4-898F-65C1EC854B28}"/>
    <cellStyle name="20% - Accent4 2 7 4" xfId="10414" xr:uid="{EFE82D2C-2C15-4A3C-BD17-7408A49FE764}"/>
    <cellStyle name="20% - Accent4 2 8" xfId="2289" xr:uid="{00000000-0005-0000-0000-00002F020000}"/>
    <cellStyle name="20% - Accent4 2 8 2" xfId="6595" xr:uid="{00000000-0005-0000-0000-000030020000}"/>
    <cellStyle name="20% - Accent4 2 8 2 2" xfId="15045" xr:uid="{102AB99C-8B89-4DDC-8748-397ED66ECD1F}"/>
    <cellStyle name="20% - Accent4 2 8 3" xfId="10827" xr:uid="{46F9562D-43D4-49DF-A9D2-9B0AC22A5FEE}"/>
    <cellStyle name="20% - Accent4 2 9" xfId="4529" xr:uid="{00000000-0005-0000-0000-000031020000}"/>
    <cellStyle name="20% - Accent4 2 9 2" xfId="12979" xr:uid="{0332BF74-4AB5-4277-B4C4-0C5B3ECBBE07}"/>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4075A6B-4E18-4120-BBFA-CD6F52753230}"/>
    <cellStyle name="20% - Accent4 3 2 2 2 3" xfId="11325" xr:uid="{750B8EAB-B3C2-48C2-97D2-29540BB1751F}"/>
    <cellStyle name="20% - Accent4 3 2 2 3" xfId="4948" xr:uid="{00000000-0005-0000-0000-000037020000}"/>
    <cellStyle name="20% - Accent4 3 2 2 3 2" xfId="13398" xr:uid="{B9B5009F-65BE-4530-86FF-5BDF8A1DA113}"/>
    <cellStyle name="20% - Accent4 3 2 2 4" xfId="9180" xr:uid="{553D7466-C0A1-4EBE-AA01-DA821C80DBE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C8AE80D0-3691-48E5-B355-7E6E2A8E0257}"/>
    <cellStyle name="20% - Accent4 3 2 3 2 3" xfId="11738" xr:uid="{8B88DBC4-26A5-41C3-870A-1A9296201C69}"/>
    <cellStyle name="20% - Accent4 3 2 3 3" xfId="5361" xr:uid="{00000000-0005-0000-0000-00003B020000}"/>
    <cellStyle name="20% - Accent4 3 2 3 3 2" xfId="13811" xr:uid="{C87AB735-343B-456A-A158-3F4CBAF1ED15}"/>
    <cellStyle name="20% - Accent4 3 2 3 4" xfId="9593" xr:uid="{8AFDFBBE-EF48-47EE-8A24-32A5C630C32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849A987D-F7D6-41A9-89AF-641129B7F13F}"/>
    <cellStyle name="20% - Accent4 3 2 4 2 3" xfId="12151" xr:uid="{E72A7238-CD5C-49A3-B6F1-084FBACB2C61}"/>
    <cellStyle name="20% - Accent4 3 2 4 3" xfId="5774" xr:uid="{00000000-0005-0000-0000-00003F020000}"/>
    <cellStyle name="20% - Accent4 3 2 4 3 2" xfId="14224" xr:uid="{7C4BA49A-4227-4756-8334-78A923F5C89C}"/>
    <cellStyle name="20% - Accent4 3 2 4 4" xfId="10006" xr:uid="{6835FBB1-B72D-4D1E-9FE1-F04F3EC2FE38}"/>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89CE13D0-C762-4F19-9545-0B1D33ADA82D}"/>
    <cellStyle name="20% - Accent4 3 2 5 2 3" xfId="12564" xr:uid="{18B78216-5A53-4223-8920-B637DE9B2684}"/>
    <cellStyle name="20% - Accent4 3 2 5 3" xfId="6187" xr:uid="{00000000-0005-0000-0000-000043020000}"/>
    <cellStyle name="20% - Accent4 3 2 5 3 2" xfId="14637" xr:uid="{67A75443-687F-4FE2-BB1B-519E28187CF4}"/>
    <cellStyle name="20% - Accent4 3 2 5 4" xfId="10419" xr:uid="{7156C7DD-F905-41E0-8B68-9F8A2EEA48E7}"/>
    <cellStyle name="20% - Accent4 3 2 6" xfId="2294" xr:uid="{00000000-0005-0000-0000-000044020000}"/>
    <cellStyle name="20% - Accent4 3 2 6 2" xfId="6600" xr:uid="{00000000-0005-0000-0000-000045020000}"/>
    <cellStyle name="20% - Accent4 3 2 6 2 2" xfId="15050" xr:uid="{CD6BCE99-ED94-4720-B5AA-E7D54EC4E3E6}"/>
    <cellStyle name="20% - Accent4 3 2 6 3" xfId="10832" xr:uid="{48EADB94-2D03-4431-B186-B23ED55091DF}"/>
    <cellStyle name="20% - Accent4 3 2 7" xfId="4534" xr:uid="{00000000-0005-0000-0000-000046020000}"/>
    <cellStyle name="20% - Accent4 3 2 7 2" xfId="12984" xr:uid="{075190B9-2CCC-486E-B41A-64437451F73C}"/>
    <cellStyle name="20% - Accent4 3 2 8" xfId="8766" xr:uid="{F71C11B5-B5B2-48A6-BC95-C452FAC1422F}"/>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DDBB991A-8224-47B9-B81A-85F8957F5AF6}"/>
    <cellStyle name="20% - Accent4 3 3 2 3" xfId="11324" xr:uid="{5E50891B-9349-41F7-A8E0-9DBA8585A79C}"/>
    <cellStyle name="20% - Accent4 3 3 3" xfId="4947" xr:uid="{00000000-0005-0000-0000-00004A020000}"/>
    <cellStyle name="20% - Accent4 3 3 3 2" xfId="13397" xr:uid="{ECB0FD28-F5D0-4D6A-9ACE-118FC894208A}"/>
    <cellStyle name="20% - Accent4 3 3 4" xfId="9179" xr:uid="{1922E674-FEB2-494B-97D5-3C17159E5702}"/>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14880E76-4CAE-405B-804D-56C2B1D33B23}"/>
    <cellStyle name="20% - Accent4 3 4 2 3" xfId="11737" xr:uid="{CEFF5648-6BB6-44CF-A87A-459F82F6C2BE}"/>
    <cellStyle name="20% - Accent4 3 4 3" xfId="5360" xr:uid="{00000000-0005-0000-0000-00004E020000}"/>
    <cellStyle name="20% - Accent4 3 4 3 2" xfId="13810" xr:uid="{5D5BE0D7-197B-47DB-8BBC-9ACF70DFD2B6}"/>
    <cellStyle name="20% - Accent4 3 4 4" xfId="9592" xr:uid="{13B3E509-F636-48AD-8719-1CDB75C03B4F}"/>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C48DE3A7-0D55-40CA-82D6-2BB896842626}"/>
    <cellStyle name="20% - Accent4 3 5 2 3" xfId="12150" xr:uid="{A0783B26-FF6D-4983-8C28-DB451BEDEA51}"/>
    <cellStyle name="20% - Accent4 3 5 3" xfId="5773" xr:uid="{00000000-0005-0000-0000-000052020000}"/>
    <cellStyle name="20% - Accent4 3 5 3 2" xfId="14223" xr:uid="{51CD30A0-9F8E-4417-96E4-8EE5D90D2FFE}"/>
    <cellStyle name="20% - Accent4 3 5 4" xfId="10005" xr:uid="{8690C47A-3E8A-416F-925F-BEC297B6B0F7}"/>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43FBC8A4-F5B5-40CB-8D00-E107865640DE}"/>
    <cellStyle name="20% - Accent4 3 6 2 3" xfId="12563" xr:uid="{5D39EDBD-64C8-4461-9FFF-10EE306D4871}"/>
    <cellStyle name="20% - Accent4 3 6 3" xfId="6186" xr:uid="{00000000-0005-0000-0000-000056020000}"/>
    <cellStyle name="20% - Accent4 3 6 3 2" xfId="14636" xr:uid="{41FE7D1B-1BBB-4CC0-A334-D8C374C95F46}"/>
    <cellStyle name="20% - Accent4 3 6 4" xfId="10418" xr:uid="{0532EEF8-9BEF-4AB1-A349-2F2AA6317367}"/>
    <cellStyle name="20% - Accent4 3 7" xfId="2293" xr:uid="{00000000-0005-0000-0000-000057020000}"/>
    <cellStyle name="20% - Accent4 3 7 2" xfId="6599" xr:uid="{00000000-0005-0000-0000-000058020000}"/>
    <cellStyle name="20% - Accent4 3 7 2 2" xfId="15049" xr:uid="{AF93E4A9-7CA2-4E31-A051-895CE27BADCB}"/>
    <cellStyle name="20% - Accent4 3 7 3" xfId="10831" xr:uid="{A4D5125E-BAA1-4EE7-A21B-54234E27D776}"/>
    <cellStyle name="20% - Accent4 3 8" xfId="4533" xr:uid="{00000000-0005-0000-0000-000059020000}"/>
    <cellStyle name="20% - Accent4 3 8 2" xfId="12983" xr:uid="{F56B27B0-8C32-4808-B243-7468ACE74F3F}"/>
    <cellStyle name="20% - Accent4 3 9" xfId="8765" xr:uid="{28510C9F-F8F1-4558-951A-1C76D4881357}"/>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3BD8AF62-BCD8-443F-9C72-F00853DDE463}"/>
    <cellStyle name="20% - Accent4 4 2 2 3" xfId="11326" xr:uid="{B1BA03EE-3CAE-4FBB-A9A7-A23776648154}"/>
    <cellStyle name="20% - Accent4 4 2 3" xfId="4949" xr:uid="{00000000-0005-0000-0000-00005E020000}"/>
    <cellStyle name="20% - Accent4 4 2 3 2" xfId="13399" xr:uid="{A3B05B8B-7E65-4E0F-AE2F-4356689D0A74}"/>
    <cellStyle name="20% - Accent4 4 2 4" xfId="9181" xr:uid="{DA601C5D-8B76-4655-BAB1-A04CC9CF01FD}"/>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2A02C5C1-8CAC-4EE7-B27B-87A24189B88D}"/>
    <cellStyle name="20% - Accent4 4 3 2 3" xfId="11739" xr:uid="{B0E8D336-9BE5-46E4-A2B3-BABDFDE90D33}"/>
    <cellStyle name="20% - Accent4 4 3 3" xfId="5362" xr:uid="{00000000-0005-0000-0000-000062020000}"/>
    <cellStyle name="20% - Accent4 4 3 3 2" xfId="13812" xr:uid="{655B216F-CFDD-4E6C-A6E9-7755D7F3C592}"/>
    <cellStyle name="20% - Accent4 4 3 4" xfId="9594" xr:uid="{3A5C5BB5-1F34-4046-B1F4-7081B7E36C95}"/>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F5DC7649-37B5-44DF-925B-F73DF6ED6F8E}"/>
    <cellStyle name="20% - Accent4 4 4 2 3" xfId="12152" xr:uid="{35EEECB2-D275-47E8-95D6-20EC3F7E7285}"/>
    <cellStyle name="20% - Accent4 4 4 3" xfId="5775" xr:uid="{00000000-0005-0000-0000-000066020000}"/>
    <cellStyle name="20% - Accent4 4 4 3 2" xfId="14225" xr:uid="{30F62044-6B81-46ED-AFBF-594DC9228673}"/>
    <cellStyle name="20% - Accent4 4 4 4" xfId="10007" xr:uid="{9BBC01AA-0265-4381-97E4-F9430E6C580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B4AF6903-F433-4CA5-A951-D44023C6618F}"/>
    <cellStyle name="20% - Accent4 4 5 2 3" xfId="12565" xr:uid="{26047860-9956-42FB-8AA3-CDBE54BF961B}"/>
    <cellStyle name="20% - Accent4 4 5 3" xfId="6188" xr:uid="{00000000-0005-0000-0000-00006A020000}"/>
    <cellStyle name="20% - Accent4 4 5 3 2" xfId="14638" xr:uid="{5A2D4C67-DE52-47BA-8B0A-CC28388A9FAA}"/>
    <cellStyle name="20% - Accent4 4 5 4" xfId="10420" xr:uid="{C8E5ADB7-B066-40EC-9540-7481090AEDAE}"/>
    <cellStyle name="20% - Accent4 4 6" xfId="2295" xr:uid="{00000000-0005-0000-0000-00006B020000}"/>
    <cellStyle name="20% - Accent4 4 6 2" xfId="6601" xr:uid="{00000000-0005-0000-0000-00006C020000}"/>
    <cellStyle name="20% - Accent4 4 6 2 2" xfId="15051" xr:uid="{DB5C7424-C2ED-4C4B-8E8A-AF85E385D5DD}"/>
    <cellStyle name="20% - Accent4 4 6 3" xfId="10833" xr:uid="{0AA9B44A-7941-4F7B-B6B8-DBD2F608A2B5}"/>
    <cellStyle name="20% - Accent4 4 7" xfId="4535" xr:uid="{00000000-0005-0000-0000-00006D020000}"/>
    <cellStyle name="20% - Accent4 4 7 2" xfId="12985" xr:uid="{A52187D9-60D0-490A-A9BC-77C2CB66ADC0}"/>
    <cellStyle name="20% - Accent4 4 8" xfId="8767" xr:uid="{38C6F1EA-9487-4ED1-8E92-A6FD4FA75673}"/>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B77F55D4-5C83-45BF-AFA4-2FCF99B41E13}"/>
    <cellStyle name="20% - Accent4 5 2 3" xfId="11319" xr:uid="{A3324D89-16CB-439B-8133-E3E3DB3D598E}"/>
    <cellStyle name="20% - Accent4 5 3" xfId="4942" xr:uid="{00000000-0005-0000-0000-000071020000}"/>
    <cellStyle name="20% - Accent4 5 3 2" xfId="13392" xr:uid="{30ECFFEE-6184-4375-86EF-60FEF83A3C80}"/>
    <cellStyle name="20% - Accent4 5 4" xfId="9174" xr:uid="{D6DD7A72-C512-4C63-8264-1D0DD1817854}"/>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90288E05-3D87-40D8-9E09-17F7397314FB}"/>
    <cellStyle name="20% - Accent4 6 2 3" xfId="11732" xr:uid="{7C1EC247-72ED-4E93-8E18-35ABE1F47FA7}"/>
    <cellStyle name="20% - Accent4 6 3" xfId="5355" xr:uid="{00000000-0005-0000-0000-000075020000}"/>
    <cellStyle name="20% - Accent4 6 3 2" xfId="13805" xr:uid="{A5F2F091-598F-4EA1-8721-054EE97B6A16}"/>
    <cellStyle name="20% - Accent4 6 4" xfId="9587" xr:uid="{FD5D4A07-8D8A-4B19-B948-73D7816C1A34}"/>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766E899D-391E-4AAF-B6FF-2D19DA8169A8}"/>
    <cellStyle name="20% - Accent4 7 2 3" xfId="12145" xr:uid="{5435A534-75F3-414C-976B-97CD6F4ECBD0}"/>
    <cellStyle name="20% - Accent4 7 3" xfId="5768" xr:uid="{00000000-0005-0000-0000-000079020000}"/>
    <cellStyle name="20% - Accent4 7 3 2" xfId="14218" xr:uid="{AC7D8445-4042-4A41-8185-AA0CB5B82C43}"/>
    <cellStyle name="20% - Accent4 7 4" xfId="10000" xr:uid="{5FCA9F7E-C230-49AA-B86F-E07164B28597}"/>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742AF1C6-992A-4C97-9ADE-B5369B48E311}"/>
    <cellStyle name="20% - Accent4 8 2 3" xfId="12558" xr:uid="{C558FA10-6F40-4E8A-9078-69C097438A02}"/>
    <cellStyle name="20% - Accent4 8 3" xfId="6181" xr:uid="{00000000-0005-0000-0000-00007D020000}"/>
    <cellStyle name="20% - Accent4 8 3 2" xfId="14631" xr:uid="{27A8E455-8FF5-44EA-AF48-36047D37EFB4}"/>
    <cellStyle name="20% - Accent4 8 4" xfId="10413" xr:uid="{5C2F76B0-6064-49F5-B32B-92367F945AA0}"/>
    <cellStyle name="20% - Accent4 9" xfId="2288" xr:uid="{00000000-0005-0000-0000-00007E020000}"/>
    <cellStyle name="20% - Accent4 9 2" xfId="6594" xr:uid="{00000000-0005-0000-0000-00007F020000}"/>
    <cellStyle name="20% - Accent4 9 2 2" xfId="15044" xr:uid="{53863789-C46E-40F8-A322-8AA7968207D8}"/>
    <cellStyle name="20% - Accent4 9 3" xfId="10826" xr:uid="{BAA2A768-F28C-4FD3-B169-387DA085ADBE}"/>
    <cellStyle name="20% - Accent5" xfId="33" builtinId="46" customBuiltin="1"/>
    <cellStyle name="20% - Accent5 10" xfId="4536" xr:uid="{00000000-0005-0000-0000-000081020000}"/>
    <cellStyle name="20% - Accent5 10 2" xfId="12986" xr:uid="{7B68299A-0351-4F07-B31A-74E8034691D0}"/>
    <cellStyle name="20% - Accent5 11" xfId="8768" xr:uid="{AA7DF1F1-2E85-4604-AA09-BD3D8043DF5C}"/>
    <cellStyle name="20% - Accent5 2" xfId="34" xr:uid="{00000000-0005-0000-0000-000082020000}"/>
    <cellStyle name="20% - Accent5 2 10" xfId="8769" xr:uid="{87313903-94B8-4B13-87AB-AC2057D1D49A}"/>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985E360F-AFD9-4CDE-A3FF-C31B0FB31DCE}"/>
    <cellStyle name="20% - Accent5 2 2 2 2 2 3" xfId="11330" xr:uid="{7BB9A45D-1E3C-4D76-B26E-072C19B3DD92}"/>
    <cellStyle name="20% - Accent5 2 2 2 2 3" xfId="4953" xr:uid="{00000000-0005-0000-0000-000088020000}"/>
    <cellStyle name="20% - Accent5 2 2 2 2 3 2" xfId="13403" xr:uid="{C41122F5-F788-4BDD-BA29-D57218C12798}"/>
    <cellStyle name="20% - Accent5 2 2 2 2 4" xfId="9185" xr:uid="{0753C3B7-DD36-4444-AD19-89F3CA12E2B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66C4A355-46DF-4C80-8481-FE8C909072E8}"/>
    <cellStyle name="20% - Accent5 2 2 2 3 2 3" xfId="11743" xr:uid="{7002222D-9D43-48D5-AA5E-6806C9C8115C}"/>
    <cellStyle name="20% - Accent5 2 2 2 3 3" xfId="5366" xr:uid="{00000000-0005-0000-0000-00008C020000}"/>
    <cellStyle name="20% - Accent5 2 2 2 3 3 2" xfId="13816" xr:uid="{F0DFE912-70C4-4CD7-B840-C7B99272DC67}"/>
    <cellStyle name="20% - Accent5 2 2 2 3 4" xfId="9598" xr:uid="{96757FED-0D1B-4CC1-9E06-5BD2ED2129ED}"/>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19191438-1501-40C4-B3E5-BFC004427C40}"/>
    <cellStyle name="20% - Accent5 2 2 2 4 2 3" xfId="12156" xr:uid="{A0BDAF54-8596-4108-BD88-B07D6733AA1C}"/>
    <cellStyle name="20% - Accent5 2 2 2 4 3" xfId="5779" xr:uid="{00000000-0005-0000-0000-000090020000}"/>
    <cellStyle name="20% - Accent5 2 2 2 4 3 2" xfId="14229" xr:uid="{5A968E56-04D8-4E5A-B434-C72FD489B8E3}"/>
    <cellStyle name="20% - Accent5 2 2 2 4 4" xfId="10011" xr:uid="{9691D77B-413E-491B-B4EF-037203A3E8D7}"/>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34E22964-0695-4E3E-B187-BBD7763F712D}"/>
    <cellStyle name="20% - Accent5 2 2 2 5 2 3" xfId="12569" xr:uid="{2C56DBDB-CA89-442F-8F36-7BFCDA117A84}"/>
    <cellStyle name="20% - Accent5 2 2 2 5 3" xfId="6192" xr:uid="{00000000-0005-0000-0000-000094020000}"/>
    <cellStyle name="20% - Accent5 2 2 2 5 3 2" xfId="14642" xr:uid="{2D0B2B72-CD58-43B0-A107-13801102BAC5}"/>
    <cellStyle name="20% - Accent5 2 2 2 5 4" xfId="10424" xr:uid="{FF043E55-0EEE-4197-80E6-952A201B651F}"/>
    <cellStyle name="20% - Accent5 2 2 2 6" xfId="2299" xr:uid="{00000000-0005-0000-0000-000095020000}"/>
    <cellStyle name="20% - Accent5 2 2 2 6 2" xfId="6605" xr:uid="{00000000-0005-0000-0000-000096020000}"/>
    <cellStyle name="20% - Accent5 2 2 2 6 2 2" xfId="15055" xr:uid="{B38E1EAC-DB8C-44B4-8D6A-9347A114B718}"/>
    <cellStyle name="20% - Accent5 2 2 2 6 3" xfId="10837" xr:uid="{466990EA-9C84-456D-B44E-29D9DD381739}"/>
    <cellStyle name="20% - Accent5 2 2 2 7" xfId="4539" xr:uid="{00000000-0005-0000-0000-000097020000}"/>
    <cellStyle name="20% - Accent5 2 2 2 7 2" xfId="12989" xr:uid="{AE31BBD1-8073-48D0-A140-B2ED684CAB05}"/>
    <cellStyle name="20% - Accent5 2 2 2 8" xfId="8771" xr:uid="{916B4330-03EC-4D8D-8858-660575172F8C}"/>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DF50926F-DAB3-4F5B-AF8F-880552398504}"/>
    <cellStyle name="20% - Accent5 2 2 3 2 3" xfId="11329" xr:uid="{E7E13F6E-CD6C-4D79-BE2B-54898EAD2A8F}"/>
    <cellStyle name="20% - Accent5 2 2 3 3" xfId="4952" xr:uid="{00000000-0005-0000-0000-00009B020000}"/>
    <cellStyle name="20% - Accent5 2 2 3 3 2" xfId="13402" xr:uid="{7BD5F314-474C-44D7-AFB0-BD8310E47CBD}"/>
    <cellStyle name="20% - Accent5 2 2 3 4" xfId="9184" xr:uid="{F920F3A0-5F09-464A-AF83-6C82B9DE38ED}"/>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69BCA7D1-A519-4244-87E9-06D98BDA039C}"/>
    <cellStyle name="20% - Accent5 2 2 4 2 3" xfId="11742" xr:uid="{AAFA9A18-511B-4AE1-AA61-EF9918F2E1A4}"/>
    <cellStyle name="20% - Accent5 2 2 4 3" xfId="5365" xr:uid="{00000000-0005-0000-0000-00009F020000}"/>
    <cellStyle name="20% - Accent5 2 2 4 3 2" xfId="13815" xr:uid="{042A4EE0-C090-4CD3-A2ED-F835547CC521}"/>
    <cellStyle name="20% - Accent5 2 2 4 4" xfId="9597" xr:uid="{7180DCC7-765F-4F62-A994-E7152D5AE7B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600A0EA9-8E7C-420C-B432-49093489A69B}"/>
    <cellStyle name="20% - Accent5 2 2 5 2 3" xfId="12155" xr:uid="{A2073B7D-1D48-45CA-BDA2-223DEAA6122D}"/>
    <cellStyle name="20% - Accent5 2 2 5 3" xfId="5778" xr:uid="{00000000-0005-0000-0000-0000A3020000}"/>
    <cellStyle name="20% - Accent5 2 2 5 3 2" xfId="14228" xr:uid="{DC408D54-4E21-413C-B1B3-1AA1E937D858}"/>
    <cellStyle name="20% - Accent5 2 2 5 4" xfId="10010" xr:uid="{EC5F842D-1E3E-4EC6-881B-F8EFDE4F073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4C03F774-A9A2-4BF7-9357-536F04915C69}"/>
    <cellStyle name="20% - Accent5 2 2 6 2 3" xfId="12568" xr:uid="{336D4DC3-2679-40A8-B66F-60277BEAC053}"/>
    <cellStyle name="20% - Accent5 2 2 6 3" xfId="6191" xr:uid="{00000000-0005-0000-0000-0000A7020000}"/>
    <cellStyle name="20% - Accent5 2 2 6 3 2" xfId="14641" xr:uid="{0A95895D-8CA0-4463-8D95-C910FD3FFEF1}"/>
    <cellStyle name="20% - Accent5 2 2 6 4" xfId="10423" xr:uid="{88AA8C76-BC41-4205-8459-541C72BF7A54}"/>
    <cellStyle name="20% - Accent5 2 2 7" xfId="2298" xr:uid="{00000000-0005-0000-0000-0000A8020000}"/>
    <cellStyle name="20% - Accent5 2 2 7 2" xfId="6604" xr:uid="{00000000-0005-0000-0000-0000A9020000}"/>
    <cellStyle name="20% - Accent5 2 2 7 2 2" xfId="15054" xr:uid="{5A1E43EE-2A0C-429F-A07D-FF2805306309}"/>
    <cellStyle name="20% - Accent5 2 2 7 3" xfId="10836" xr:uid="{EE0509E3-26E4-42D9-A51F-7AB0390672DE}"/>
    <cellStyle name="20% - Accent5 2 2 8" xfId="4538" xr:uid="{00000000-0005-0000-0000-0000AA020000}"/>
    <cellStyle name="20% - Accent5 2 2 8 2" xfId="12988" xr:uid="{47AF6AEE-5CD9-4FF2-B277-503273A47693}"/>
    <cellStyle name="20% - Accent5 2 2 9" xfId="8770" xr:uid="{34EDDB66-7D31-42C4-BC92-253B941A492D}"/>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449F0F86-F8A3-4963-B0CF-D37E76046E01}"/>
    <cellStyle name="20% - Accent5 2 3 2 2 3" xfId="11331" xr:uid="{51DC7E1E-D522-4650-808A-402293773ED2}"/>
    <cellStyle name="20% - Accent5 2 3 2 3" xfId="4954" xr:uid="{00000000-0005-0000-0000-0000AF020000}"/>
    <cellStyle name="20% - Accent5 2 3 2 3 2" xfId="13404" xr:uid="{DAE6D285-E489-43E3-AF7B-6402DD02202A}"/>
    <cellStyle name="20% - Accent5 2 3 2 4" xfId="9186" xr:uid="{71519890-7BCC-4C65-AB89-5F95E41FEEC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7EDF8AA4-4268-45ED-8638-E17747382E32}"/>
    <cellStyle name="20% - Accent5 2 3 3 2 3" xfId="11744" xr:uid="{3F9D004F-EB3C-4EEF-B752-3D19E79EF7F9}"/>
    <cellStyle name="20% - Accent5 2 3 3 3" xfId="5367" xr:uid="{00000000-0005-0000-0000-0000B3020000}"/>
    <cellStyle name="20% - Accent5 2 3 3 3 2" xfId="13817" xr:uid="{2A3D1CF9-A039-4A72-BA4B-94D3D7F9CC98}"/>
    <cellStyle name="20% - Accent5 2 3 3 4" xfId="9599" xr:uid="{9A112866-2F6C-4875-BF82-3A89CE17918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B2F2FB37-3156-4E7E-A311-7355858AC70E}"/>
    <cellStyle name="20% - Accent5 2 3 4 2 3" xfId="12157" xr:uid="{B702EC1E-2001-4FD2-ABD8-7E5CC9709DBA}"/>
    <cellStyle name="20% - Accent5 2 3 4 3" xfId="5780" xr:uid="{00000000-0005-0000-0000-0000B7020000}"/>
    <cellStyle name="20% - Accent5 2 3 4 3 2" xfId="14230" xr:uid="{9A9F7CBA-F9FA-43F4-9B16-00127A226381}"/>
    <cellStyle name="20% - Accent5 2 3 4 4" xfId="10012" xr:uid="{E97249C4-3994-41D5-91DF-DC5D4B0E5F5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C287656D-F517-42B5-858C-F6E7BC194EC3}"/>
    <cellStyle name="20% - Accent5 2 3 5 2 3" xfId="12570" xr:uid="{99EFB672-D47B-42FD-B655-F02A00803390}"/>
    <cellStyle name="20% - Accent5 2 3 5 3" xfId="6193" xr:uid="{00000000-0005-0000-0000-0000BB020000}"/>
    <cellStyle name="20% - Accent5 2 3 5 3 2" xfId="14643" xr:uid="{309CBF68-8C15-4761-B40A-479D0664B3B9}"/>
    <cellStyle name="20% - Accent5 2 3 5 4" xfId="10425" xr:uid="{983C4809-C682-4396-BD0E-433A4B6EBA45}"/>
    <cellStyle name="20% - Accent5 2 3 6" xfId="2300" xr:uid="{00000000-0005-0000-0000-0000BC020000}"/>
    <cellStyle name="20% - Accent5 2 3 6 2" xfId="6606" xr:uid="{00000000-0005-0000-0000-0000BD020000}"/>
    <cellStyle name="20% - Accent5 2 3 6 2 2" xfId="15056" xr:uid="{F0C7A089-5274-4EA5-991E-6E3339880DF2}"/>
    <cellStyle name="20% - Accent5 2 3 6 3" xfId="10838" xr:uid="{78C93DD5-224B-4B74-989D-2A07B5CC51B2}"/>
    <cellStyle name="20% - Accent5 2 3 7" xfId="4540" xr:uid="{00000000-0005-0000-0000-0000BE020000}"/>
    <cellStyle name="20% - Accent5 2 3 7 2" xfId="12990" xr:uid="{37BD2C35-98EC-4F9D-A416-121AA91C75D3}"/>
    <cellStyle name="20% - Accent5 2 3 8" xfId="8772" xr:uid="{A038D39E-3B02-44A7-A75A-B32DF678FE12}"/>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E51448AA-7D52-498A-A7D0-978A8580E70D}"/>
    <cellStyle name="20% - Accent5 2 4 2 3" xfId="11328" xr:uid="{1E030204-6ED5-4AC3-BACE-926386FDE547}"/>
    <cellStyle name="20% - Accent5 2 4 3" xfId="4951" xr:uid="{00000000-0005-0000-0000-0000C2020000}"/>
    <cellStyle name="20% - Accent5 2 4 3 2" xfId="13401" xr:uid="{F882626C-DF05-4C4A-B91A-218E1A03C3E7}"/>
    <cellStyle name="20% - Accent5 2 4 4" xfId="9183" xr:uid="{665CD5B3-5040-416A-B392-3C6677F2E014}"/>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7CF7E5E5-7EFA-41C6-8E67-81CBA08A207D}"/>
    <cellStyle name="20% - Accent5 2 5 2 3" xfId="11741" xr:uid="{140A4D8A-AD9B-45A7-A4CC-18CA69140655}"/>
    <cellStyle name="20% - Accent5 2 5 3" xfId="5364" xr:uid="{00000000-0005-0000-0000-0000C6020000}"/>
    <cellStyle name="20% - Accent5 2 5 3 2" xfId="13814" xr:uid="{172624A5-7C5D-4BE8-9D51-25B6E2544E60}"/>
    <cellStyle name="20% - Accent5 2 5 4" xfId="9596" xr:uid="{2F3C33F8-3480-47A3-BEFC-C6EA74C0A9C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D43E6438-64BB-4A4B-92A6-2B58FB6D5DBF}"/>
    <cellStyle name="20% - Accent5 2 6 2 3" xfId="12154" xr:uid="{A8238436-341A-4A16-BE7A-F567704C3C23}"/>
    <cellStyle name="20% - Accent5 2 6 3" xfId="5777" xr:uid="{00000000-0005-0000-0000-0000CA020000}"/>
    <cellStyle name="20% - Accent5 2 6 3 2" xfId="14227" xr:uid="{702B5704-7B27-45E0-9456-C077BEE56A70}"/>
    <cellStyle name="20% - Accent5 2 6 4" xfId="10009" xr:uid="{BC093DC8-EAE4-4FE3-A1A6-7E2554BF2AA1}"/>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4843FA97-3E7D-4939-9169-07BE2025E830}"/>
    <cellStyle name="20% - Accent5 2 7 2 3" xfId="12567" xr:uid="{3E5B3BDE-667F-40E8-BE5E-34A173984F79}"/>
    <cellStyle name="20% - Accent5 2 7 3" xfId="6190" xr:uid="{00000000-0005-0000-0000-0000CE020000}"/>
    <cellStyle name="20% - Accent5 2 7 3 2" xfId="14640" xr:uid="{84621643-1503-450A-BEA1-E52BBFA06442}"/>
    <cellStyle name="20% - Accent5 2 7 4" xfId="10422" xr:uid="{50735499-3AFD-46E4-8AE2-A93017FB2735}"/>
    <cellStyle name="20% - Accent5 2 8" xfId="2297" xr:uid="{00000000-0005-0000-0000-0000CF020000}"/>
    <cellStyle name="20% - Accent5 2 8 2" xfId="6603" xr:uid="{00000000-0005-0000-0000-0000D0020000}"/>
    <cellStyle name="20% - Accent5 2 8 2 2" xfId="15053" xr:uid="{9C5AC8BC-AC27-41D2-B06F-E886DE84B9A3}"/>
    <cellStyle name="20% - Accent5 2 8 3" xfId="10835" xr:uid="{7D445E5F-031B-4856-89A9-86FF2536913A}"/>
    <cellStyle name="20% - Accent5 2 9" xfId="4537" xr:uid="{00000000-0005-0000-0000-0000D1020000}"/>
    <cellStyle name="20% - Accent5 2 9 2" xfId="12987" xr:uid="{B8052B04-2274-4465-845A-1328E06CA63A}"/>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4A75173C-73B7-4C26-8076-3DE803405530}"/>
    <cellStyle name="20% - Accent5 3 2 2 2 3" xfId="11333" xr:uid="{064231F0-C01F-4F79-96A1-12369B3210F7}"/>
    <cellStyle name="20% - Accent5 3 2 2 3" xfId="4956" xr:uid="{00000000-0005-0000-0000-0000D7020000}"/>
    <cellStyle name="20% - Accent5 3 2 2 3 2" xfId="13406" xr:uid="{D79BD2FD-85B2-49B3-9EAA-6A4CDF482950}"/>
    <cellStyle name="20% - Accent5 3 2 2 4" xfId="9188" xr:uid="{EBC0221D-9DD8-440A-BF7E-439D6E8F53D2}"/>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92D869F7-61CA-4C76-B97E-5257889BC4BA}"/>
    <cellStyle name="20% - Accent5 3 2 3 2 3" xfId="11746" xr:uid="{69C729D9-7D57-4766-8E4B-DE4DF4FEFE4D}"/>
    <cellStyle name="20% - Accent5 3 2 3 3" xfId="5369" xr:uid="{00000000-0005-0000-0000-0000DB020000}"/>
    <cellStyle name="20% - Accent5 3 2 3 3 2" xfId="13819" xr:uid="{4C88B841-676E-4BBD-AE43-F073CA27D1B8}"/>
    <cellStyle name="20% - Accent5 3 2 3 4" xfId="9601" xr:uid="{9AB3DF95-BF48-4165-AA09-43BB0AF11B56}"/>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00A64D0F-8F02-46A3-A831-C16E2E35FC11}"/>
    <cellStyle name="20% - Accent5 3 2 4 2 3" xfId="12159" xr:uid="{B850A8E5-0BCA-497B-89B7-FB584CF6D363}"/>
    <cellStyle name="20% - Accent5 3 2 4 3" xfId="5782" xr:uid="{00000000-0005-0000-0000-0000DF020000}"/>
    <cellStyle name="20% - Accent5 3 2 4 3 2" xfId="14232" xr:uid="{12B5BDCB-7AB0-4F96-8E87-235EC6704447}"/>
    <cellStyle name="20% - Accent5 3 2 4 4" xfId="10014" xr:uid="{E7BCF933-AB6F-4870-AD69-568A16076388}"/>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10B4A788-0D8C-4066-BCFF-7DFF5DD47BC9}"/>
    <cellStyle name="20% - Accent5 3 2 5 2 3" xfId="12572" xr:uid="{F0F2050B-35C4-4433-999E-D2DBDF446D7A}"/>
    <cellStyle name="20% - Accent5 3 2 5 3" xfId="6195" xr:uid="{00000000-0005-0000-0000-0000E3020000}"/>
    <cellStyle name="20% - Accent5 3 2 5 3 2" xfId="14645" xr:uid="{095DE2D7-816F-4D45-9BF9-A6C1F7A92EF9}"/>
    <cellStyle name="20% - Accent5 3 2 5 4" xfId="10427" xr:uid="{84FFF359-FD8E-4A27-8C61-D8E3CF7645CE}"/>
    <cellStyle name="20% - Accent5 3 2 6" xfId="2302" xr:uid="{00000000-0005-0000-0000-0000E4020000}"/>
    <cellStyle name="20% - Accent5 3 2 6 2" xfId="6608" xr:uid="{00000000-0005-0000-0000-0000E5020000}"/>
    <cellStyle name="20% - Accent5 3 2 6 2 2" xfId="15058" xr:uid="{27190834-B117-4799-A040-22BCA623773D}"/>
    <cellStyle name="20% - Accent5 3 2 6 3" xfId="10840" xr:uid="{D84C0FCD-3E84-447E-ABE8-EB6D4181DA9F}"/>
    <cellStyle name="20% - Accent5 3 2 7" xfId="4542" xr:uid="{00000000-0005-0000-0000-0000E6020000}"/>
    <cellStyle name="20% - Accent5 3 2 7 2" xfId="12992" xr:uid="{DAAE9E4A-BC9B-4BC1-ABD2-9357C5F71B95}"/>
    <cellStyle name="20% - Accent5 3 2 8" xfId="8774" xr:uid="{63DA134D-033B-4F93-8044-13CEBCD1229C}"/>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88DA1D03-F2CA-4DBE-91E5-8C44A09C0259}"/>
    <cellStyle name="20% - Accent5 3 3 2 3" xfId="11332" xr:uid="{34CD3B6D-A730-469B-BD12-01AAC16B3654}"/>
    <cellStyle name="20% - Accent5 3 3 3" xfId="4955" xr:uid="{00000000-0005-0000-0000-0000EA020000}"/>
    <cellStyle name="20% - Accent5 3 3 3 2" xfId="13405" xr:uid="{D41C1101-E582-49D6-BEA8-63494FB350A5}"/>
    <cellStyle name="20% - Accent5 3 3 4" xfId="9187" xr:uid="{126F879E-AAA5-4386-833F-645667B51433}"/>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352180BF-71AF-4ADC-8802-54FF06FCEE90}"/>
    <cellStyle name="20% - Accent5 3 4 2 3" xfId="11745" xr:uid="{18A755B8-A92C-4900-B280-67E3EE5E5396}"/>
    <cellStyle name="20% - Accent5 3 4 3" xfId="5368" xr:uid="{00000000-0005-0000-0000-0000EE020000}"/>
    <cellStyle name="20% - Accent5 3 4 3 2" xfId="13818" xr:uid="{0AEC1B66-4D22-4451-87A5-8D7148EFAE83}"/>
    <cellStyle name="20% - Accent5 3 4 4" xfId="9600" xr:uid="{3724608C-13A1-4E30-8B54-483F1BC4575E}"/>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0CD02C3A-8ED9-4A25-B715-B710390EFF9A}"/>
    <cellStyle name="20% - Accent5 3 5 2 3" xfId="12158" xr:uid="{CD04D7D2-21EF-4D9E-8F24-1E425726CE47}"/>
    <cellStyle name="20% - Accent5 3 5 3" xfId="5781" xr:uid="{00000000-0005-0000-0000-0000F2020000}"/>
    <cellStyle name="20% - Accent5 3 5 3 2" xfId="14231" xr:uid="{E58D5BA3-ECCF-4302-AB95-CA8C2731E7E0}"/>
    <cellStyle name="20% - Accent5 3 5 4" xfId="10013" xr:uid="{DAA8143F-620F-45AC-9D20-AFE595E4E5AC}"/>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E65E209B-62AC-45A2-8D04-FBCAE2F0D0C9}"/>
    <cellStyle name="20% - Accent5 3 6 2 3" xfId="12571" xr:uid="{D6717C35-ED37-4138-BFAE-410670264B5C}"/>
    <cellStyle name="20% - Accent5 3 6 3" xfId="6194" xr:uid="{00000000-0005-0000-0000-0000F6020000}"/>
    <cellStyle name="20% - Accent5 3 6 3 2" xfId="14644" xr:uid="{9A9C9DA6-B5CE-4BC5-8342-A0FAE0B9460C}"/>
    <cellStyle name="20% - Accent5 3 6 4" xfId="10426" xr:uid="{5EBEA85B-EC89-400A-9EC4-0280F35E6A95}"/>
    <cellStyle name="20% - Accent5 3 7" xfId="2301" xr:uid="{00000000-0005-0000-0000-0000F7020000}"/>
    <cellStyle name="20% - Accent5 3 7 2" xfId="6607" xr:uid="{00000000-0005-0000-0000-0000F8020000}"/>
    <cellStyle name="20% - Accent5 3 7 2 2" xfId="15057" xr:uid="{4219B8B4-3808-4B3E-A810-ADAEAF0AD28C}"/>
    <cellStyle name="20% - Accent5 3 7 3" xfId="10839" xr:uid="{2956AD8E-41DB-4EF7-A6A9-88F7D10A4F8A}"/>
    <cellStyle name="20% - Accent5 3 8" xfId="4541" xr:uid="{00000000-0005-0000-0000-0000F9020000}"/>
    <cellStyle name="20% - Accent5 3 8 2" xfId="12991" xr:uid="{AF5919D3-5238-46F4-8157-1E4F4BB5BBD0}"/>
    <cellStyle name="20% - Accent5 3 9" xfId="8773" xr:uid="{F56AF90A-507A-4764-A879-B1BA5FB947F8}"/>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A48478B3-3DEA-4D60-AF95-443AD08DF6ED}"/>
    <cellStyle name="20% - Accent5 4 2 2 3" xfId="11334" xr:uid="{A86E12C0-564F-4095-8159-E842FB09ABCA}"/>
    <cellStyle name="20% - Accent5 4 2 3" xfId="4957" xr:uid="{00000000-0005-0000-0000-0000FE020000}"/>
    <cellStyle name="20% - Accent5 4 2 3 2" xfId="13407" xr:uid="{5B5703AA-8793-4F7B-B202-981564C1B916}"/>
    <cellStyle name="20% - Accent5 4 2 4" xfId="9189" xr:uid="{EE091E7E-8B2E-4099-A289-F375FC3D795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F5D07C1C-FF9A-408D-BDCD-1E782F6067DF}"/>
    <cellStyle name="20% - Accent5 4 3 2 3" xfId="11747" xr:uid="{4A3E9E99-E11E-4CA1-B7D9-A008E9065C93}"/>
    <cellStyle name="20% - Accent5 4 3 3" xfId="5370" xr:uid="{00000000-0005-0000-0000-000002030000}"/>
    <cellStyle name="20% - Accent5 4 3 3 2" xfId="13820" xr:uid="{9163A20F-F966-4679-BC85-F96646E759A8}"/>
    <cellStyle name="20% - Accent5 4 3 4" xfId="9602" xr:uid="{3DBABEA4-1CB0-4CEE-82A6-83515C63E2C7}"/>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6E9DE485-0B36-4DAD-AFBF-D00EA36C8C56}"/>
    <cellStyle name="20% - Accent5 4 4 2 3" xfId="12160" xr:uid="{23E1236B-81E0-4AD2-BE29-624F949B7329}"/>
    <cellStyle name="20% - Accent5 4 4 3" xfId="5783" xr:uid="{00000000-0005-0000-0000-000006030000}"/>
    <cellStyle name="20% - Accent5 4 4 3 2" xfId="14233" xr:uid="{0D8BF702-8F4B-4F9C-8F6B-4B53F5FC3150}"/>
    <cellStyle name="20% - Accent5 4 4 4" xfId="10015" xr:uid="{4A859EF5-8231-4FC5-9D67-DAB5BBD52616}"/>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EF0B1771-CE39-47C5-9CF9-832E8AF5ADAC}"/>
    <cellStyle name="20% - Accent5 4 5 2 3" xfId="12573" xr:uid="{4B1AB78D-4CA0-4512-8DEA-BE2390A43736}"/>
    <cellStyle name="20% - Accent5 4 5 3" xfId="6196" xr:uid="{00000000-0005-0000-0000-00000A030000}"/>
    <cellStyle name="20% - Accent5 4 5 3 2" xfId="14646" xr:uid="{5CC1F1B3-19E3-412A-9396-3C59B92AC07D}"/>
    <cellStyle name="20% - Accent5 4 5 4" xfId="10428" xr:uid="{545EC72F-FDD8-4CD1-AE8A-4E0D94942CB5}"/>
    <cellStyle name="20% - Accent5 4 6" xfId="2303" xr:uid="{00000000-0005-0000-0000-00000B030000}"/>
    <cellStyle name="20% - Accent5 4 6 2" xfId="6609" xr:uid="{00000000-0005-0000-0000-00000C030000}"/>
    <cellStyle name="20% - Accent5 4 6 2 2" xfId="15059" xr:uid="{1BD7AD5F-28FF-45DF-B3BF-2020B02F5EB5}"/>
    <cellStyle name="20% - Accent5 4 6 3" xfId="10841" xr:uid="{5A88FA95-0D5C-4968-9B65-688BD5CA66FD}"/>
    <cellStyle name="20% - Accent5 4 7" xfId="4543" xr:uid="{00000000-0005-0000-0000-00000D030000}"/>
    <cellStyle name="20% - Accent5 4 7 2" xfId="12993" xr:uid="{84EC7848-D27A-4FE6-896D-CA27D8FC8B13}"/>
    <cellStyle name="20% - Accent5 4 8" xfId="8775" xr:uid="{EA30CDE8-04C9-437D-A5A2-01C0CB1B7318}"/>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918AB54D-362F-435B-B5F0-4386FE65820B}"/>
    <cellStyle name="20% - Accent5 5 2 3" xfId="11327" xr:uid="{F24C9D96-B245-402B-8556-363AF05199A8}"/>
    <cellStyle name="20% - Accent5 5 3" xfId="4950" xr:uid="{00000000-0005-0000-0000-000011030000}"/>
    <cellStyle name="20% - Accent5 5 3 2" xfId="13400" xr:uid="{C5330370-0D9D-453D-A618-CBA631BA00C6}"/>
    <cellStyle name="20% - Accent5 5 4" xfId="9182" xr:uid="{76373798-7099-4011-B04E-C2386F0BA6AE}"/>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682CF515-3629-4CEE-A9B6-4E9B4DB978B5}"/>
    <cellStyle name="20% - Accent5 6 2 3" xfId="11740" xr:uid="{30FE4CFA-E948-41C5-AB5F-F046D62CE4B1}"/>
    <cellStyle name="20% - Accent5 6 3" xfId="5363" xr:uid="{00000000-0005-0000-0000-000015030000}"/>
    <cellStyle name="20% - Accent5 6 3 2" xfId="13813" xr:uid="{58505D90-B1EE-45A5-9E4F-C0E37013E673}"/>
    <cellStyle name="20% - Accent5 6 4" xfId="9595" xr:uid="{A7BC585E-9BD4-4C62-9F65-F17BC0630A01}"/>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70E79F3B-9F78-48B3-89F3-CE073403AE70}"/>
    <cellStyle name="20% - Accent5 7 2 3" xfId="12153" xr:uid="{28C273C9-0A55-4D74-AA03-EB68391F9E82}"/>
    <cellStyle name="20% - Accent5 7 3" xfId="5776" xr:uid="{00000000-0005-0000-0000-000019030000}"/>
    <cellStyle name="20% - Accent5 7 3 2" xfId="14226" xr:uid="{D5CDB0E6-D909-4DDE-96BF-97582224AED1}"/>
    <cellStyle name="20% - Accent5 7 4" xfId="10008" xr:uid="{1F334DDD-71A9-4F24-A7B3-16741A87FE39}"/>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FF5953F4-4B5E-4CF8-BF68-DD7E74AFC85A}"/>
    <cellStyle name="20% - Accent5 8 2 3" xfId="12566" xr:uid="{7F2A70DE-3145-4DA8-9C46-9679870F9A86}"/>
    <cellStyle name="20% - Accent5 8 3" xfId="6189" xr:uid="{00000000-0005-0000-0000-00001D030000}"/>
    <cellStyle name="20% - Accent5 8 3 2" xfId="14639" xr:uid="{A828EF6C-2EFF-4DA9-98D6-0B74C2C63B64}"/>
    <cellStyle name="20% - Accent5 8 4" xfId="10421" xr:uid="{42C92233-2CDC-4262-B301-342BCF4E4EFC}"/>
    <cellStyle name="20% - Accent5 9" xfId="2296" xr:uid="{00000000-0005-0000-0000-00001E030000}"/>
    <cellStyle name="20% - Accent5 9 2" xfId="6602" xr:uid="{00000000-0005-0000-0000-00001F030000}"/>
    <cellStyle name="20% - Accent5 9 2 2" xfId="15052" xr:uid="{DDC20615-E112-48DA-B9AD-112B455CF332}"/>
    <cellStyle name="20% - Accent5 9 3" xfId="10834" xr:uid="{DB776AC2-69E9-49D0-85B5-9207B8023424}"/>
    <cellStyle name="20% - Accent6" xfId="41" builtinId="50" customBuiltin="1"/>
    <cellStyle name="20% - Accent6 10" xfId="4544" xr:uid="{00000000-0005-0000-0000-000021030000}"/>
    <cellStyle name="20% - Accent6 10 2" xfId="12994" xr:uid="{1FD7B39D-7184-43D5-803D-78CB9AAFC7EB}"/>
    <cellStyle name="20% - Accent6 11" xfId="8776" xr:uid="{D8DDB688-C748-4E5E-AB37-235E942B2156}"/>
    <cellStyle name="20% - Accent6 2" xfId="42" xr:uid="{00000000-0005-0000-0000-000022030000}"/>
    <cellStyle name="20% - Accent6 2 10" xfId="8777" xr:uid="{7388392A-8426-4E5E-85C2-D447AE43D2FE}"/>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986F0B4B-9316-410C-B577-B60F553A611A}"/>
    <cellStyle name="20% - Accent6 2 2 2 2 2 3" xfId="11338" xr:uid="{7208A6E0-70ED-4730-8E51-4835BBDA4B42}"/>
    <cellStyle name="20% - Accent6 2 2 2 2 3" xfId="4961" xr:uid="{00000000-0005-0000-0000-000028030000}"/>
    <cellStyle name="20% - Accent6 2 2 2 2 3 2" xfId="13411" xr:uid="{C4AFFA19-D398-489C-A064-6AF282C37E07}"/>
    <cellStyle name="20% - Accent6 2 2 2 2 4" xfId="9193" xr:uid="{86C9A852-63AC-4292-8659-603C2FAC74A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13D4B351-5BBC-459D-9EC1-CDE24AED05D5}"/>
    <cellStyle name="20% - Accent6 2 2 2 3 2 3" xfId="11751" xr:uid="{FDA52A25-FDB0-4015-9049-B04C53CACF9F}"/>
    <cellStyle name="20% - Accent6 2 2 2 3 3" xfId="5374" xr:uid="{00000000-0005-0000-0000-00002C030000}"/>
    <cellStyle name="20% - Accent6 2 2 2 3 3 2" xfId="13824" xr:uid="{57A22BC2-9B73-404B-B729-CD675975F2C0}"/>
    <cellStyle name="20% - Accent6 2 2 2 3 4" xfId="9606" xr:uid="{9ABD4AFE-99C3-4910-A371-1168F9458BD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23A50850-A3A7-4BDD-9030-A9AAABF2E6C2}"/>
    <cellStyle name="20% - Accent6 2 2 2 4 2 3" xfId="12164" xr:uid="{DB1E7867-3DD3-4AFA-A498-F67722932C35}"/>
    <cellStyle name="20% - Accent6 2 2 2 4 3" xfId="5787" xr:uid="{00000000-0005-0000-0000-000030030000}"/>
    <cellStyle name="20% - Accent6 2 2 2 4 3 2" xfId="14237" xr:uid="{8024C3AB-1FF1-4268-89F3-DB297309DB1A}"/>
    <cellStyle name="20% - Accent6 2 2 2 4 4" xfId="10019" xr:uid="{89D55391-43AB-421D-9476-F17FB1375184}"/>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CFF77A2A-B6EE-4443-AB0E-CD66032F123C}"/>
    <cellStyle name="20% - Accent6 2 2 2 5 2 3" xfId="12577" xr:uid="{E759DCE9-7491-402C-BBE3-53630F275FB9}"/>
    <cellStyle name="20% - Accent6 2 2 2 5 3" xfId="6200" xr:uid="{00000000-0005-0000-0000-000034030000}"/>
    <cellStyle name="20% - Accent6 2 2 2 5 3 2" xfId="14650" xr:uid="{4CC9385A-A758-431B-B5B2-F7AE63B3BD6D}"/>
    <cellStyle name="20% - Accent6 2 2 2 5 4" xfId="10432" xr:uid="{F9F2B97D-DA67-4447-ACE2-8D133C3E25C9}"/>
    <cellStyle name="20% - Accent6 2 2 2 6" xfId="2307" xr:uid="{00000000-0005-0000-0000-000035030000}"/>
    <cellStyle name="20% - Accent6 2 2 2 6 2" xfId="6613" xr:uid="{00000000-0005-0000-0000-000036030000}"/>
    <cellStyle name="20% - Accent6 2 2 2 6 2 2" xfId="15063" xr:uid="{0BCE4020-8341-4FDC-83EC-48822C1ABB55}"/>
    <cellStyle name="20% - Accent6 2 2 2 6 3" xfId="10845" xr:uid="{99C157DC-4277-4E0A-948B-97CFB3BE85E3}"/>
    <cellStyle name="20% - Accent6 2 2 2 7" xfId="4547" xr:uid="{00000000-0005-0000-0000-000037030000}"/>
    <cellStyle name="20% - Accent6 2 2 2 7 2" xfId="12997" xr:uid="{6BED5CF7-6B78-4007-8A71-C71F9056804D}"/>
    <cellStyle name="20% - Accent6 2 2 2 8" xfId="8779" xr:uid="{CE87061D-3EF8-4BB6-B950-26E769D4AB83}"/>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CBFA5A8C-682D-4491-A4D9-A8F8C10896A6}"/>
    <cellStyle name="20% - Accent6 2 2 3 2 3" xfId="11337" xr:uid="{5BE3E956-B8B8-4499-98BD-338EA2F9106F}"/>
    <cellStyle name="20% - Accent6 2 2 3 3" xfId="4960" xr:uid="{00000000-0005-0000-0000-00003B030000}"/>
    <cellStyle name="20% - Accent6 2 2 3 3 2" xfId="13410" xr:uid="{88F04F6D-247B-4D93-97D3-C535CB2000F1}"/>
    <cellStyle name="20% - Accent6 2 2 3 4" xfId="9192" xr:uid="{FC318BAC-92DD-4945-B07C-A77E2AE7116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1ABAB6B4-0CE4-4F50-AFB9-1DB3D7B91D20}"/>
    <cellStyle name="20% - Accent6 2 2 4 2 3" xfId="11750" xr:uid="{38AF519D-34BE-4482-9DFF-B8F91CDC27E8}"/>
    <cellStyle name="20% - Accent6 2 2 4 3" xfId="5373" xr:uid="{00000000-0005-0000-0000-00003F030000}"/>
    <cellStyle name="20% - Accent6 2 2 4 3 2" xfId="13823" xr:uid="{59008DE1-2EE8-40FD-8CA1-B0CE1FE0F456}"/>
    <cellStyle name="20% - Accent6 2 2 4 4" xfId="9605" xr:uid="{D07CEFE1-95E3-4174-8DC9-6E501C903636}"/>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1883A366-AAA3-49AB-9B42-0E21E784C42C}"/>
    <cellStyle name="20% - Accent6 2 2 5 2 3" xfId="12163" xr:uid="{B35B4C5E-07F3-4FDE-9E35-EE04C8AD9D7F}"/>
    <cellStyle name="20% - Accent6 2 2 5 3" xfId="5786" xr:uid="{00000000-0005-0000-0000-000043030000}"/>
    <cellStyle name="20% - Accent6 2 2 5 3 2" xfId="14236" xr:uid="{90566944-F66F-4AB6-91B7-E8C295504F56}"/>
    <cellStyle name="20% - Accent6 2 2 5 4" xfId="10018" xr:uid="{BC106D0C-B530-4D97-B864-3DBCB7AE2C03}"/>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93933541-A065-4A12-A7FF-1B1FD33EA1D6}"/>
    <cellStyle name="20% - Accent6 2 2 6 2 3" xfId="12576" xr:uid="{A7130795-B84A-4490-AE83-E3EDE31A501F}"/>
    <cellStyle name="20% - Accent6 2 2 6 3" xfId="6199" xr:uid="{00000000-0005-0000-0000-000047030000}"/>
    <cellStyle name="20% - Accent6 2 2 6 3 2" xfId="14649" xr:uid="{BB871A90-CCF8-4557-9CF6-6CD97C5E2C3F}"/>
    <cellStyle name="20% - Accent6 2 2 6 4" xfId="10431" xr:uid="{0C5A3B11-ECA2-4DCF-96FB-852106745702}"/>
    <cellStyle name="20% - Accent6 2 2 7" xfId="2306" xr:uid="{00000000-0005-0000-0000-000048030000}"/>
    <cellStyle name="20% - Accent6 2 2 7 2" xfId="6612" xr:uid="{00000000-0005-0000-0000-000049030000}"/>
    <cellStyle name="20% - Accent6 2 2 7 2 2" xfId="15062" xr:uid="{1916601F-EA6D-414D-8854-4FC0B22C358D}"/>
    <cellStyle name="20% - Accent6 2 2 7 3" xfId="10844" xr:uid="{70A30FC1-E8E3-4761-B156-F4E0B2E70710}"/>
    <cellStyle name="20% - Accent6 2 2 8" xfId="4546" xr:uid="{00000000-0005-0000-0000-00004A030000}"/>
    <cellStyle name="20% - Accent6 2 2 8 2" xfId="12996" xr:uid="{33C50CD7-5F28-4451-89A0-7B90397353D4}"/>
    <cellStyle name="20% - Accent6 2 2 9" xfId="8778" xr:uid="{01F0070B-6FD3-4401-BCF3-E45580509854}"/>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5072F180-2716-49B6-B976-D1552052DAE3}"/>
    <cellStyle name="20% - Accent6 2 3 2 2 3" xfId="11339" xr:uid="{D51542C9-099A-4198-B867-64584D59384D}"/>
    <cellStyle name="20% - Accent6 2 3 2 3" xfId="4962" xr:uid="{00000000-0005-0000-0000-00004F030000}"/>
    <cellStyle name="20% - Accent6 2 3 2 3 2" xfId="13412" xr:uid="{6DD8EC12-47C0-4590-8928-9B731DB32A1E}"/>
    <cellStyle name="20% - Accent6 2 3 2 4" xfId="9194" xr:uid="{F1306176-A910-4DED-B47F-FCB0100770E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63B15C91-5C9D-4974-9829-2F5C83E5072B}"/>
    <cellStyle name="20% - Accent6 2 3 3 2 3" xfId="11752" xr:uid="{97F8570A-DDFC-49D7-9E70-371E95CA9A04}"/>
    <cellStyle name="20% - Accent6 2 3 3 3" xfId="5375" xr:uid="{00000000-0005-0000-0000-000053030000}"/>
    <cellStyle name="20% - Accent6 2 3 3 3 2" xfId="13825" xr:uid="{ED26527A-83C0-4A04-8463-6B8AFBBE6516}"/>
    <cellStyle name="20% - Accent6 2 3 3 4" xfId="9607" xr:uid="{E8B80E9A-D3D1-40C1-B54E-12E50A9C761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B2A019E9-4B7B-4680-AF11-21F40EF13788}"/>
    <cellStyle name="20% - Accent6 2 3 4 2 3" xfId="12165" xr:uid="{3F1A8C96-675F-46CF-8288-07AB746FAAEE}"/>
    <cellStyle name="20% - Accent6 2 3 4 3" xfId="5788" xr:uid="{00000000-0005-0000-0000-000057030000}"/>
    <cellStyle name="20% - Accent6 2 3 4 3 2" xfId="14238" xr:uid="{85A8B203-D0E9-4423-A11F-A77BB26AC649}"/>
    <cellStyle name="20% - Accent6 2 3 4 4" xfId="10020" xr:uid="{46DA6276-0F4E-4992-BDAF-C5EC21BFBF3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B42D3929-3E10-47F4-B828-0DCC2514D15C}"/>
    <cellStyle name="20% - Accent6 2 3 5 2 3" xfId="12578" xr:uid="{907173A3-DA23-4ADD-9EB9-281A8449AF54}"/>
    <cellStyle name="20% - Accent6 2 3 5 3" xfId="6201" xr:uid="{00000000-0005-0000-0000-00005B030000}"/>
    <cellStyle name="20% - Accent6 2 3 5 3 2" xfId="14651" xr:uid="{9ACB0673-B526-41E5-B171-80E6A1EC7A11}"/>
    <cellStyle name="20% - Accent6 2 3 5 4" xfId="10433" xr:uid="{966F0CF2-33AB-4506-B70C-1AF84788B9BD}"/>
    <cellStyle name="20% - Accent6 2 3 6" xfId="2308" xr:uid="{00000000-0005-0000-0000-00005C030000}"/>
    <cellStyle name="20% - Accent6 2 3 6 2" xfId="6614" xr:uid="{00000000-0005-0000-0000-00005D030000}"/>
    <cellStyle name="20% - Accent6 2 3 6 2 2" xfId="15064" xr:uid="{0DE60EED-61EE-4485-9EAD-0487B14B7D30}"/>
    <cellStyle name="20% - Accent6 2 3 6 3" xfId="10846" xr:uid="{5A1E8774-E550-4FDE-917C-6D4EE44758FC}"/>
    <cellStyle name="20% - Accent6 2 3 7" xfId="4548" xr:uid="{00000000-0005-0000-0000-00005E030000}"/>
    <cellStyle name="20% - Accent6 2 3 7 2" xfId="12998" xr:uid="{FAB85810-F843-4C7B-897E-406DA7330B6B}"/>
    <cellStyle name="20% - Accent6 2 3 8" xfId="8780" xr:uid="{18958E37-E827-4865-BEE7-F478B5E757E8}"/>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C454BA78-49A0-47A6-92F7-4DE12AC3E452}"/>
    <cellStyle name="20% - Accent6 2 4 2 3" xfId="11336" xr:uid="{0B9BB36A-7E90-45EA-836E-BE64FD44A887}"/>
    <cellStyle name="20% - Accent6 2 4 3" xfId="4959" xr:uid="{00000000-0005-0000-0000-000062030000}"/>
    <cellStyle name="20% - Accent6 2 4 3 2" xfId="13409" xr:uid="{02151560-F68C-46A4-875B-ABF27B6A6D1F}"/>
    <cellStyle name="20% - Accent6 2 4 4" xfId="9191" xr:uid="{09A8E64A-2A20-4539-82C5-CD31B854D58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D01D04A5-D0E2-474E-82B4-ED292462DBA4}"/>
    <cellStyle name="20% - Accent6 2 5 2 3" xfId="11749" xr:uid="{852D7740-4110-4C17-91C3-2489B89FB083}"/>
    <cellStyle name="20% - Accent6 2 5 3" xfId="5372" xr:uid="{00000000-0005-0000-0000-000066030000}"/>
    <cellStyle name="20% - Accent6 2 5 3 2" xfId="13822" xr:uid="{205457EB-A3D3-4F4F-801B-D7B3163229C6}"/>
    <cellStyle name="20% - Accent6 2 5 4" xfId="9604" xr:uid="{7E579232-EC4C-4097-A60A-FF1FB8FC1615}"/>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E66F2212-3662-4526-BF30-51EBA640FC03}"/>
    <cellStyle name="20% - Accent6 2 6 2 3" xfId="12162" xr:uid="{9BB85B46-7621-4E2C-87E6-FA8C384D1FE5}"/>
    <cellStyle name="20% - Accent6 2 6 3" xfId="5785" xr:uid="{00000000-0005-0000-0000-00006A030000}"/>
    <cellStyle name="20% - Accent6 2 6 3 2" xfId="14235" xr:uid="{C92F74BE-5950-46EB-9B13-AD56592C3530}"/>
    <cellStyle name="20% - Accent6 2 6 4" xfId="10017" xr:uid="{A9F8B897-28C2-4E6F-A6ED-6455D1556636}"/>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9B9792CE-275B-4B41-B3A6-AE50DF570130}"/>
    <cellStyle name="20% - Accent6 2 7 2 3" xfId="12575" xr:uid="{FE79EBE0-3A20-4EA3-BAB4-892590ACB8D0}"/>
    <cellStyle name="20% - Accent6 2 7 3" xfId="6198" xr:uid="{00000000-0005-0000-0000-00006E030000}"/>
    <cellStyle name="20% - Accent6 2 7 3 2" xfId="14648" xr:uid="{257D5CCF-98B4-4917-BA2B-61FED6380348}"/>
    <cellStyle name="20% - Accent6 2 7 4" xfId="10430" xr:uid="{8E92A8FF-CAD0-4D31-9266-C1D04D4758D9}"/>
    <cellStyle name="20% - Accent6 2 8" xfId="2305" xr:uid="{00000000-0005-0000-0000-00006F030000}"/>
    <cellStyle name="20% - Accent6 2 8 2" xfId="6611" xr:uid="{00000000-0005-0000-0000-000070030000}"/>
    <cellStyle name="20% - Accent6 2 8 2 2" xfId="15061" xr:uid="{678030EC-D60D-48A7-81AD-C2B0E7EB742C}"/>
    <cellStyle name="20% - Accent6 2 8 3" xfId="10843" xr:uid="{6DAA1C16-0526-4834-96EF-8C4D87AB5B52}"/>
    <cellStyle name="20% - Accent6 2 9" xfId="4545" xr:uid="{00000000-0005-0000-0000-000071030000}"/>
    <cellStyle name="20% - Accent6 2 9 2" xfId="12995" xr:uid="{C4A8A42B-AB15-4B78-8940-70F4AFABA319}"/>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4E50C263-F371-4A4E-B74A-A20C6E1AFE8B}"/>
    <cellStyle name="20% - Accent6 3 2 2 2 3" xfId="11341" xr:uid="{C5FA2EF4-4597-4268-9ECE-09F0A819F5EF}"/>
    <cellStyle name="20% - Accent6 3 2 2 3" xfId="4964" xr:uid="{00000000-0005-0000-0000-000077030000}"/>
    <cellStyle name="20% - Accent6 3 2 2 3 2" xfId="13414" xr:uid="{9B95E8F5-8AA1-44AB-90E3-956297CD9662}"/>
    <cellStyle name="20% - Accent6 3 2 2 4" xfId="9196" xr:uid="{B2CB7F14-8289-47C2-9F61-7FA78D781F97}"/>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AB1A48B3-C50B-4E80-A180-DFD17662A84D}"/>
    <cellStyle name="20% - Accent6 3 2 3 2 3" xfId="11754" xr:uid="{3F66EB58-4E09-4E19-AF00-876D684C3FF3}"/>
    <cellStyle name="20% - Accent6 3 2 3 3" xfId="5377" xr:uid="{00000000-0005-0000-0000-00007B030000}"/>
    <cellStyle name="20% - Accent6 3 2 3 3 2" xfId="13827" xr:uid="{DD639B42-12F3-4C2C-B13D-974CC34EA49E}"/>
    <cellStyle name="20% - Accent6 3 2 3 4" xfId="9609" xr:uid="{6D1A430B-CAF3-463A-91AA-34EDAA8C06F6}"/>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666C1952-EC5F-476E-82C0-31ACB74C8A77}"/>
    <cellStyle name="20% - Accent6 3 2 4 2 3" xfId="12167" xr:uid="{85425376-6B68-4F76-A465-81ABA26F59E7}"/>
    <cellStyle name="20% - Accent6 3 2 4 3" xfId="5790" xr:uid="{00000000-0005-0000-0000-00007F030000}"/>
    <cellStyle name="20% - Accent6 3 2 4 3 2" xfId="14240" xr:uid="{BF46E2F3-06CC-4F10-A65A-0CDBB61904F6}"/>
    <cellStyle name="20% - Accent6 3 2 4 4" xfId="10022" xr:uid="{6A2964F0-08E8-4C31-B6C3-AB7E73D6BF21}"/>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3C761A93-F570-4C8E-B619-B77DCE7691B1}"/>
    <cellStyle name="20% - Accent6 3 2 5 2 3" xfId="12580" xr:uid="{A408435C-0072-47C4-90AA-30CB1CD40F7F}"/>
    <cellStyle name="20% - Accent6 3 2 5 3" xfId="6203" xr:uid="{00000000-0005-0000-0000-000083030000}"/>
    <cellStyle name="20% - Accent6 3 2 5 3 2" xfId="14653" xr:uid="{5B1C1B26-2611-45E4-9BBB-F9922F506496}"/>
    <cellStyle name="20% - Accent6 3 2 5 4" xfId="10435" xr:uid="{CB9388FE-29B8-4AE3-B739-F26B09F9E9D4}"/>
    <cellStyle name="20% - Accent6 3 2 6" xfId="2310" xr:uid="{00000000-0005-0000-0000-000084030000}"/>
    <cellStyle name="20% - Accent6 3 2 6 2" xfId="6616" xr:uid="{00000000-0005-0000-0000-000085030000}"/>
    <cellStyle name="20% - Accent6 3 2 6 2 2" xfId="15066" xr:uid="{22F7C5A4-B754-44D1-A17B-28D61E86AA2E}"/>
    <cellStyle name="20% - Accent6 3 2 6 3" xfId="10848" xr:uid="{96BB5456-F06A-4EA5-B17E-8C04652BD9C9}"/>
    <cellStyle name="20% - Accent6 3 2 7" xfId="4550" xr:uid="{00000000-0005-0000-0000-000086030000}"/>
    <cellStyle name="20% - Accent6 3 2 7 2" xfId="13000" xr:uid="{0E7EA5D3-604F-40CD-91D7-E8C651FBBA23}"/>
    <cellStyle name="20% - Accent6 3 2 8" xfId="8782" xr:uid="{2A447868-F637-49B4-981F-B1EA71498D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A365F777-2AD9-4209-ACEF-1C33FE605557}"/>
    <cellStyle name="20% - Accent6 3 3 2 3" xfId="11340" xr:uid="{AC05C673-B6A4-4E52-90DB-6AB3174D1039}"/>
    <cellStyle name="20% - Accent6 3 3 3" xfId="4963" xr:uid="{00000000-0005-0000-0000-00008A030000}"/>
    <cellStyle name="20% - Accent6 3 3 3 2" xfId="13413" xr:uid="{394C1F43-360D-4ACE-9D64-2F39CC0C4374}"/>
    <cellStyle name="20% - Accent6 3 3 4" xfId="9195" xr:uid="{1D6A4FEF-8E8E-4F57-85EB-C43977897D3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B4C6F381-B1F1-493D-81FD-17016B00CD78}"/>
    <cellStyle name="20% - Accent6 3 4 2 3" xfId="11753" xr:uid="{F04F807F-2805-4474-8DB3-45BC2F66F896}"/>
    <cellStyle name="20% - Accent6 3 4 3" xfId="5376" xr:uid="{00000000-0005-0000-0000-00008E030000}"/>
    <cellStyle name="20% - Accent6 3 4 3 2" xfId="13826" xr:uid="{9B48C556-E019-44FE-A2A9-404DE1B6A8D1}"/>
    <cellStyle name="20% - Accent6 3 4 4" xfId="9608" xr:uid="{CB1453CE-2E5D-45A4-9D54-590E621DDCB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2032559A-F344-4F28-9958-B88A3A6CF83E}"/>
    <cellStyle name="20% - Accent6 3 5 2 3" xfId="12166" xr:uid="{716F8B69-7FFF-4AC2-83CF-7D42001152D5}"/>
    <cellStyle name="20% - Accent6 3 5 3" xfId="5789" xr:uid="{00000000-0005-0000-0000-000092030000}"/>
    <cellStyle name="20% - Accent6 3 5 3 2" xfId="14239" xr:uid="{A7984366-F532-49D7-892E-D95192981BCE}"/>
    <cellStyle name="20% - Accent6 3 5 4" xfId="10021" xr:uid="{A6CEA452-C48C-476E-8641-053C3933B547}"/>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B4ADD9B8-0A6F-415E-BA02-884ADFFC5DA0}"/>
    <cellStyle name="20% - Accent6 3 6 2 3" xfId="12579" xr:uid="{BEBAC098-5A47-4E45-8BA4-78389513C209}"/>
    <cellStyle name="20% - Accent6 3 6 3" xfId="6202" xr:uid="{00000000-0005-0000-0000-000096030000}"/>
    <cellStyle name="20% - Accent6 3 6 3 2" xfId="14652" xr:uid="{81148B63-A552-444F-91B5-CF94B2D3C159}"/>
    <cellStyle name="20% - Accent6 3 6 4" xfId="10434" xr:uid="{342A98D6-F4ED-43FC-A560-59AEA2940188}"/>
    <cellStyle name="20% - Accent6 3 7" xfId="2309" xr:uid="{00000000-0005-0000-0000-000097030000}"/>
    <cellStyle name="20% - Accent6 3 7 2" xfId="6615" xr:uid="{00000000-0005-0000-0000-000098030000}"/>
    <cellStyle name="20% - Accent6 3 7 2 2" xfId="15065" xr:uid="{8E4A94BA-3951-4C2D-8D22-8F561E3C905C}"/>
    <cellStyle name="20% - Accent6 3 7 3" xfId="10847" xr:uid="{1EC88B63-A7C4-483A-8D4E-3A283EF01821}"/>
    <cellStyle name="20% - Accent6 3 8" xfId="4549" xr:uid="{00000000-0005-0000-0000-000099030000}"/>
    <cellStyle name="20% - Accent6 3 8 2" xfId="12999" xr:uid="{3128BCDC-B2E9-4552-8D3F-6B359D6764D3}"/>
    <cellStyle name="20% - Accent6 3 9" xfId="8781" xr:uid="{F405F04F-5DF6-4A80-AED1-20B4FB947D6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CE6AA1C4-42D6-41F6-B00B-FD6A42C6B48E}"/>
    <cellStyle name="20% - Accent6 4 2 2 3" xfId="11342" xr:uid="{9D5C03C9-C8F8-4F2F-A8C6-001C94C10E85}"/>
    <cellStyle name="20% - Accent6 4 2 3" xfId="4965" xr:uid="{00000000-0005-0000-0000-00009E030000}"/>
    <cellStyle name="20% - Accent6 4 2 3 2" xfId="13415" xr:uid="{FD04298D-D80D-407B-9081-D278324D3003}"/>
    <cellStyle name="20% - Accent6 4 2 4" xfId="9197" xr:uid="{A69F89C2-CECC-4AA1-B4C0-24EC7633B50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F8D14EF1-92BD-4BA1-B811-8F55183B8EF5}"/>
    <cellStyle name="20% - Accent6 4 3 2 3" xfId="11755" xr:uid="{3783FD11-C3A5-4160-BE6C-2F47C60BDA44}"/>
    <cellStyle name="20% - Accent6 4 3 3" xfId="5378" xr:uid="{00000000-0005-0000-0000-0000A2030000}"/>
    <cellStyle name="20% - Accent6 4 3 3 2" xfId="13828" xr:uid="{DA882C78-6189-4237-B2FE-6866019D26C1}"/>
    <cellStyle name="20% - Accent6 4 3 4" xfId="9610" xr:uid="{EC7266DE-2C6A-4E87-8921-B73A8C5B2F0D}"/>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D96CB53-B2E1-454F-8727-89A43E31EDE9}"/>
    <cellStyle name="20% - Accent6 4 4 2 3" xfId="12168" xr:uid="{9D4AC7AE-0531-4AFF-BA30-8239C6DBF821}"/>
    <cellStyle name="20% - Accent6 4 4 3" xfId="5791" xr:uid="{00000000-0005-0000-0000-0000A6030000}"/>
    <cellStyle name="20% - Accent6 4 4 3 2" xfId="14241" xr:uid="{0F8B0B5D-B32C-48DE-A299-BDDE4DBFFAE2}"/>
    <cellStyle name="20% - Accent6 4 4 4" xfId="10023" xr:uid="{ADCDF316-4903-4CE4-BCF7-C2D953B4605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685FF08F-4717-41DE-B554-550F96C25EAE}"/>
    <cellStyle name="20% - Accent6 4 5 2 3" xfId="12581" xr:uid="{81D4E8D7-D08D-4649-92E2-9E7AC7059C62}"/>
    <cellStyle name="20% - Accent6 4 5 3" xfId="6204" xr:uid="{00000000-0005-0000-0000-0000AA030000}"/>
    <cellStyle name="20% - Accent6 4 5 3 2" xfId="14654" xr:uid="{3C78BD2A-F240-4655-AE9D-173F9688CB38}"/>
    <cellStyle name="20% - Accent6 4 5 4" xfId="10436" xr:uid="{7DEDAA72-F9F8-484A-AE92-2939AEC32B09}"/>
    <cellStyle name="20% - Accent6 4 6" xfId="2311" xr:uid="{00000000-0005-0000-0000-0000AB030000}"/>
    <cellStyle name="20% - Accent6 4 6 2" xfId="6617" xr:uid="{00000000-0005-0000-0000-0000AC030000}"/>
    <cellStyle name="20% - Accent6 4 6 2 2" xfId="15067" xr:uid="{75020B32-7A66-47B5-9DB7-D6197EDA7EA2}"/>
    <cellStyle name="20% - Accent6 4 6 3" xfId="10849" xr:uid="{9C470812-B745-4625-950A-0EEA43AD7B0D}"/>
    <cellStyle name="20% - Accent6 4 7" xfId="4551" xr:uid="{00000000-0005-0000-0000-0000AD030000}"/>
    <cellStyle name="20% - Accent6 4 7 2" xfId="13001" xr:uid="{C52D5828-E7DF-4C6D-AB25-8F760828E413}"/>
    <cellStyle name="20% - Accent6 4 8" xfId="8783" xr:uid="{E6FABAB7-CE4B-4AB9-8E32-7B697CCD5C73}"/>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E0BE3A1C-9E5A-44C0-A04C-9C6B18F0E95F}"/>
    <cellStyle name="20% - Accent6 5 2 3" xfId="11335" xr:uid="{5D49E9B5-ABEE-4872-91A6-312E1DFB9AD6}"/>
    <cellStyle name="20% - Accent6 5 3" xfId="4958" xr:uid="{00000000-0005-0000-0000-0000B1030000}"/>
    <cellStyle name="20% - Accent6 5 3 2" xfId="13408" xr:uid="{4076422A-08C3-4ED4-B616-CAF80A9EDF61}"/>
    <cellStyle name="20% - Accent6 5 4" xfId="9190" xr:uid="{A90C46D3-A772-4C99-8C33-197691C74BA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C892E1C7-005E-4134-9803-143ED4933991}"/>
    <cellStyle name="20% - Accent6 6 2 3" xfId="11748" xr:uid="{A3110B8F-B02B-4C3A-A6B9-DA738FBF76AE}"/>
    <cellStyle name="20% - Accent6 6 3" xfId="5371" xr:uid="{00000000-0005-0000-0000-0000B5030000}"/>
    <cellStyle name="20% - Accent6 6 3 2" xfId="13821" xr:uid="{B0798BA5-C4EC-4150-BA10-E0DBD2900E60}"/>
    <cellStyle name="20% - Accent6 6 4" xfId="9603" xr:uid="{7460CCAA-A944-4F77-90A9-150D5F72CF44}"/>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2B488B67-C993-4BEB-B39D-92442D6A027A}"/>
    <cellStyle name="20% - Accent6 7 2 3" xfId="12161" xr:uid="{7FD88A2B-31CC-4682-9DE1-8E2A4BB58F0C}"/>
    <cellStyle name="20% - Accent6 7 3" xfId="5784" xr:uid="{00000000-0005-0000-0000-0000B9030000}"/>
    <cellStyle name="20% - Accent6 7 3 2" xfId="14234" xr:uid="{EDDF4360-5064-4544-A7BA-67971A792E09}"/>
    <cellStyle name="20% - Accent6 7 4" xfId="10016" xr:uid="{D19F3DAC-AA41-4CF0-9C5F-49D49D519E00}"/>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654C5E02-17C7-4E2F-AD03-3679B9094519}"/>
    <cellStyle name="20% - Accent6 8 2 3" xfId="12574" xr:uid="{29D25C96-5F4F-4DFE-82AA-909EC97D1182}"/>
    <cellStyle name="20% - Accent6 8 3" xfId="6197" xr:uid="{00000000-0005-0000-0000-0000BD030000}"/>
    <cellStyle name="20% - Accent6 8 3 2" xfId="14647" xr:uid="{B7E9607A-0E07-4F0E-86A8-CE7838ECE5A3}"/>
    <cellStyle name="20% - Accent6 8 4" xfId="10429" xr:uid="{336F2E18-9AD1-416D-9A9D-EA0234ACF293}"/>
    <cellStyle name="20% - Accent6 9" xfId="2304" xr:uid="{00000000-0005-0000-0000-0000BE030000}"/>
    <cellStyle name="20% - Accent6 9 2" xfId="6610" xr:uid="{00000000-0005-0000-0000-0000BF030000}"/>
    <cellStyle name="20% - Accent6 9 2 2" xfId="15060" xr:uid="{94C55174-3535-4880-95CC-D458E693D371}"/>
    <cellStyle name="20% - Accent6 9 3" xfId="10842" xr:uid="{ACF17DFE-0497-413A-83FE-AB1C33DB0876}"/>
    <cellStyle name="40% - Accent1" xfId="49" builtinId="31" customBuiltin="1"/>
    <cellStyle name="40% - Accent1 10" xfId="4552" xr:uid="{00000000-0005-0000-0000-0000C1030000}"/>
    <cellStyle name="40% - Accent1 10 2" xfId="13002" xr:uid="{4FB574A3-DAD2-4709-854C-E4FA63B0F67E}"/>
    <cellStyle name="40% - Accent1 11" xfId="8784" xr:uid="{24FADAFD-B31E-411E-8554-ECBB3B327555}"/>
    <cellStyle name="40% - Accent1 2" xfId="50" xr:uid="{00000000-0005-0000-0000-0000C2030000}"/>
    <cellStyle name="40% - Accent1 2 10" xfId="8785" xr:uid="{BD9FD5FB-B65C-469E-8FFD-497526A6704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D671245A-7AE9-43F3-9DAF-947A7DDDFFC8}"/>
    <cellStyle name="40% - Accent1 2 2 2 2 2 3" xfId="11346" xr:uid="{7257F303-B1F0-4FFB-9EB4-F3728D46800F}"/>
    <cellStyle name="40% - Accent1 2 2 2 2 3" xfId="4969" xr:uid="{00000000-0005-0000-0000-0000C8030000}"/>
    <cellStyle name="40% - Accent1 2 2 2 2 3 2" xfId="13419" xr:uid="{41522F5B-CC14-46E2-8B43-21E94250C249}"/>
    <cellStyle name="40% - Accent1 2 2 2 2 4" xfId="9201" xr:uid="{49D6EDA9-0548-4E5E-95F8-D186B61229AE}"/>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3DE597DF-25BD-42D8-A087-F2ACF44C2FA8}"/>
    <cellStyle name="40% - Accent1 2 2 2 3 2 3" xfId="11759" xr:uid="{6C78EBE6-EF3E-4854-B03E-8CBA7130B04D}"/>
    <cellStyle name="40% - Accent1 2 2 2 3 3" xfId="5382" xr:uid="{00000000-0005-0000-0000-0000CC030000}"/>
    <cellStyle name="40% - Accent1 2 2 2 3 3 2" xfId="13832" xr:uid="{45EF2290-7BF1-4743-8D2B-AAD5394BA0AB}"/>
    <cellStyle name="40% - Accent1 2 2 2 3 4" xfId="9614" xr:uid="{178F9FBA-BCF7-432F-8FEB-01996876A6AF}"/>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4520C025-2165-4ADF-A016-F3F0F9151262}"/>
    <cellStyle name="40% - Accent1 2 2 2 4 2 3" xfId="12172" xr:uid="{EBF5FA1A-F5C4-4DA5-926C-6A330F37CDAA}"/>
    <cellStyle name="40% - Accent1 2 2 2 4 3" xfId="5795" xr:uid="{00000000-0005-0000-0000-0000D0030000}"/>
    <cellStyle name="40% - Accent1 2 2 2 4 3 2" xfId="14245" xr:uid="{F0394F40-763B-4823-8B26-18635FE07E7D}"/>
    <cellStyle name="40% - Accent1 2 2 2 4 4" xfId="10027" xr:uid="{D08D8356-15EB-47DB-A4A9-60DD86FC7084}"/>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90F17D41-4D28-457C-9FCB-95CBD6FBD816}"/>
    <cellStyle name="40% - Accent1 2 2 2 5 2 3" xfId="12585" xr:uid="{8443FDF9-AEE6-44DE-887B-7FDAA11326FE}"/>
    <cellStyle name="40% - Accent1 2 2 2 5 3" xfId="6208" xr:uid="{00000000-0005-0000-0000-0000D4030000}"/>
    <cellStyle name="40% - Accent1 2 2 2 5 3 2" xfId="14658" xr:uid="{B8FF52AB-77AA-4DA5-BF26-D78A9A4E724B}"/>
    <cellStyle name="40% - Accent1 2 2 2 5 4" xfId="10440" xr:uid="{2D9BBEEC-5BFF-49C1-A6B3-E10C3DBCE27C}"/>
    <cellStyle name="40% - Accent1 2 2 2 6" xfId="2315" xr:uid="{00000000-0005-0000-0000-0000D5030000}"/>
    <cellStyle name="40% - Accent1 2 2 2 6 2" xfId="6621" xr:uid="{00000000-0005-0000-0000-0000D6030000}"/>
    <cellStyle name="40% - Accent1 2 2 2 6 2 2" xfId="15071" xr:uid="{9A56E8D8-5C85-4ADF-A753-D6AB04AF11CC}"/>
    <cellStyle name="40% - Accent1 2 2 2 6 3" xfId="10853" xr:uid="{4CFA5460-73C8-478C-807C-170C46ED8996}"/>
    <cellStyle name="40% - Accent1 2 2 2 7" xfId="4555" xr:uid="{00000000-0005-0000-0000-0000D7030000}"/>
    <cellStyle name="40% - Accent1 2 2 2 7 2" xfId="13005" xr:uid="{F8210805-AC0E-4E65-AB6D-6DB0837C347B}"/>
    <cellStyle name="40% - Accent1 2 2 2 8" xfId="8787" xr:uid="{C957A21C-0414-4BB9-AC43-29E369DD0007}"/>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3B164762-5D3C-474D-AB2B-AEA303DD893B}"/>
    <cellStyle name="40% - Accent1 2 2 3 2 3" xfId="11345" xr:uid="{0D6BA7C8-DA25-4C65-BCA0-DE707BD2E952}"/>
    <cellStyle name="40% - Accent1 2 2 3 3" xfId="4968" xr:uid="{00000000-0005-0000-0000-0000DB030000}"/>
    <cellStyle name="40% - Accent1 2 2 3 3 2" xfId="13418" xr:uid="{C8381642-AE53-4ADD-9522-7B151222C948}"/>
    <cellStyle name="40% - Accent1 2 2 3 4" xfId="9200" xr:uid="{668F5EAD-D056-4FBA-B4CC-416D07D6FA1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DEED1246-1630-43FA-95F2-D5ED3909CCB3}"/>
    <cellStyle name="40% - Accent1 2 2 4 2 3" xfId="11758" xr:uid="{CAEE6FB0-C044-4D84-B0D1-58E3A4774DCA}"/>
    <cellStyle name="40% - Accent1 2 2 4 3" xfId="5381" xr:uid="{00000000-0005-0000-0000-0000DF030000}"/>
    <cellStyle name="40% - Accent1 2 2 4 3 2" xfId="13831" xr:uid="{377DBC71-FDB5-4CCD-9FE4-871CB31DAAD1}"/>
    <cellStyle name="40% - Accent1 2 2 4 4" xfId="9613" xr:uid="{AB7126AA-D81C-4553-97AD-CF900332ABB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F0942B69-4C7B-4B03-8581-7B46B52C3216}"/>
    <cellStyle name="40% - Accent1 2 2 5 2 3" xfId="12171" xr:uid="{22D81BCC-2C96-4159-93D1-4D698B4A4A96}"/>
    <cellStyle name="40% - Accent1 2 2 5 3" xfId="5794" xr:uid="{00000000-0005-0000-0000-0000E3030000}"/>
    <cellStyle name="40% - Accent1 2 2 5 3 2" xfId="14244" xr:uid="{2E71AAF4-AE0F-4101-AD9B-D4E4F2BA2105}"/>
    <cellStyle name="40% - Accent1 2 2 5 4" xfId="10026" xr:uid="{CF77AA72-F4E6-465C-B4A0-81205CE2B9A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BF2F128D-6016-46C6-ADA6-6D1DA4DD1910}"/>
    <cellStyle name="40% - Accent1 2 2 6 2 3" xfId="12584" xr:uid="{AF412118-7E4C-40D7-8B7E-4DBC036E29B9}"/>
    <cellStyle name="40% - Accent1 2 2 6 3" xfId="6207" xr:uid="{00000000-0005-0000-0000-0000E7030000}"/>
    <cellStyle name="40% - Accent1 2 2 6 3 2" xfId="14657" xr:uid="{5AA227FB-537F-44D8-8D4B-165E3B099C95}"/>
    <cellStyle name="40% - Accent1 2 2 6 4" xfId="10439" xr:uid="{3E18F8B0-D7F6-463D-82F9-ADD198298F29}"/>
    <cellStyle name="40% - Accent1 2 2 7" xfId="2314" xr:uid="{00000000-0005-0000-0000-0000E8030000}"/>
    <cellStyle name="40% - Accent1 2 2 7 2" xfId="6620" xr:uid="{00000000-0005-0000-0000-0000E9030000}"/>
    <cellStyle name="40% - Accent1 2 2 7 2 2" xfId="15070" xr:uid="{BCA4D4F9-836B-47BF-8008-ABA6472EC8DC}"/>
    <cellStyle name="40% - Accent1 2 2 7 3" xfId="10852" xr:uid="{763E4DF4-D428-4F77-8D5E-DD976F35C5A8}"/>
    <cellStyle name="40% - Accent1 2 2 8" xfId="4554" xr:uid="{00000000-0005-0000-0000-0000EA030000}"/>
    <cellStyle name="40% - Accent1 2 2 8 2" xfId="13004" xr:uid="{E7BCD3CB-2F83-4B68-83AA-ED35D4214BF9}"/>
    <cellStyle name="40% - Accent1 2 2 9" xfId="8786" xr:uid="{46BAE6C4-EB69-4E3B-ACC7-5148F2241A19}"/>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66242B5C-11CE-419D-8F3C-0FE2B309F92C}"/>
    <cellStyle name="40% - Accent1 2 3 2 2 3" xfId="11347" xr:uid="{0602DD10-DC74-4BDC-812F-233205483AB1}"/>
    <cellStyle name="40% - Accent1 2 3 2 3" xfId="4970" xr:uid="{00000000-0005-0000-0000-0000EF030000}"/>
    <cellStyle name="40% - Accent1 2 3 2 3 2" xfId="13420" xr:uid="{8CEB6B41-51D8-4696-A207-3A58C7C440DC}"/>
    <cellStyle name="40% - Accent1 2 3 2 4" xfId="9202" xr:uid="{21A7EB3F-D4E4-4ABC-88EA-FB88F4D1F948}"/>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C1B80C10-991E-426F-BABB-0BB769F0F538}"/>
    <cellStyle name="40% - Accent1 2 3 3 2 3" xfId="11760" xr:uid="{650CA4F1-CEDB-4A1E-8218-56C5B40D32CC}"/>
    <cellStyle name="40% - Accent1 2 3 3 3" xfId="5383" xr:uid="{00000000-0005-0000-0000-0000F3030000}"/>
    <cellStyle name="40% - Accent1 2 3 3 3 2" xfId="13833" xr:uid="{7A13AD7D-3AEE-40FF-9B5E-8B657EA98AB1}"/>
    <cellStyle name="40% - Accent1 2 3 3 4" xfId="9615" xr:uid="{0C5F1BC3-7123-4B25-952F-7D1DEAE845D5}"/>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1D4E2BED-F782-44F2-B652-7BEB836D37F5}"/>
    <cellStyle name="40% - Accent1 2 3 4 2 3" xfId="12173" xr:uid="{9000BBC1-6031-45A2-927C-C9200DC31021}"/>
    <cellStyle name="40% - Accent1 2 3 4 3" xfId="5796" xr:uid="{00000000-0005-0000-0000-0000F7030000}"/>
    <cellStyle name="40% - Accent1 2 3 4 3 2" xfId="14246" xr:uid="{0D586E6C-4D3E-4E26-B179-7B9E647024E2}"/>
    <cellStyle name="40% - Accent1 2 3 4 4" xfId="10028" xr:uid="{AF131E24-DF82-42CE-A92A-EB6B91EE43EC}"/>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DAC892D7-ED7D-48D9-A15B-1ABED513E619}"/>
    <cellStyle name="40% - Accent1 2 3 5 2 3" xfId="12586" xr:uid="{38E6F4BD-260C-4445-A81D-91588565DC78}"/>
    <cellStyle name="40% - Accent1 2 3 5 3" xfId="6209" xr:uid="{00000000-0005-0000-0000-0000FB030000}"/>
    <cellStyle name="40% - Accent1 2 3 5 3 2" xfId="14659" xr:uid="{B9CE815A-54DA-4611-BEA4-B78180B71246}"/>
    <cellStyle name="40% - Accent1 2 3 5 4" xfId="10441" xr:uid="{61B1AC6E-A1E7-417E-AB4D-4E5C2BA8487A}"/>
    <cellStyle name="40% - Accent1 2 3 6" xfId="2316" xr:uid="{00000000-0005-0000-0000-0000FC030000}"/>
    <cellStyle name="40% - Accent1 2 3 6 2" xfId="6622" xr:uid="{00000000-0005-0000-0000-0000FD030000}"/>
    <cellStyle name="40% - Accent1 2 3 6 2 2" xfId="15072" xr:uid="{21B52C3C-3109-4E0C-8009-6CCCE47BB97E}"/>
    <cellStyle name="40% - Accent1 2 3 6 3" xfId="10854" xr:uid="{A380FA43-85F6-48FA-932D-17819A31B219}"/>
    <cellStyle name="40% - Accent1 2 3 7" xfId="4556" xr:uid="{00000000-0005-0000-0000-0000FE030000}"/>
    <cellStyle name="40% - Accent1 2 3 7 2" xfId="13006" xr:uid="{D6A50541-B4AA-488B-82C0-210759D1C399}"/>
    <cellStyle name="40% - Accent1 2 3 8" xfId="8788" xr:uid="{D600E83A-2649-4895-8F71-160D6F774DF9}"/>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1057CFDA-B7B5-4D53-833E-CB4B4CA45E09}"/>
    <cellStyle name="40% - Accent1 2 4 2 3" xfId="11344" xr:uid="{C6485725-58D0-46BC-92F7-BC564CC2B150}"/>
    <cellStyle name="40% - Accent1 2 4 3" xfId="4967" xr:uid="{00000000-0005-0000-0000-000002040000}"/>
    <cellStyle name="40% - Accent1 2 4 3 2" xfId="13417" xr:uid="{89C49061-E5E0-4459-9621-AF4F3BE751AC}"/>
    <cellStyle name="40% - Accent1 2 4 4" xfId="9199" xr:uid="{8BD154DE-A040-483D-BE0A-D051F0AAD525}"/>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5706ACAD-C29E-4A36-8598-55986EEA89E3}"/>
    <cellStyle name="40% - Accent1 2 5 2 3" xfId="11757" xr:uid="{1F9DEDCF-C6D2-4215-99FE-91533444DA1B}"/>
    <cellStyle name="40% - Accent1 2 5 3" xfId="5380" xr:uid="{00000000-0005-0000-0000-000006040000}"/>
    <cellStyle name="40% - Accent1 2 5 3 2" xfId="13830" xr:uid="{D821EC66-47F9-4C93-BE93-FE60CA6A2D84}"/>
    <cellStyle name="40% - Accent1 2 5 4" xfId="9612" xr:uid="{6FE81D0C-B5F9-4AFC-B97E-C13FF1AE29C3}"/>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3E5F20C0-054C-4B93-98A0-DD83602D27D7}"/>
    <cellStyle name="40% - Accent1 2 6 2 3" xfId="12170" xr:uid="{3EEF6494-A1FE-4EFA-B453-62E531B80BAC}"/>
    <cellStyle name="40% - Accent1 2 6 3" xfId="5793" xr:uid="{00000000-0005-0000-0000-00000A040000}"/>
    <cellStyle name="40% - Accent1 2 6 3 2" xfId="14243" xr:uid="{1631E331-27E3-4811-B489-98CFB5DEE080}"/>
    <cellStyle name="40% - Accent1 2 6 4" xfId="10025" xr:uid="{B6D62F98-4AF9-4050-9683-5FD6D6212F77}"/>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88532E35-AD9D-42E1-8FD7-4F95A91436BC}"/>
    <cellStyle name="40% - Accent1 2 7 2 3" xfId="12583" xr:uid="{13F0B32F-C605-4680-B678-51C4A0505211}"/>
    <cellStyle name="40% - Accent1 2 7 3" xfId="6206" xr:uid="{00000000-0005-0000-0000-00000E040000}"/>
    <cellStyle name="40% - Accent1 2 7 3 2" xfId="14656" xr:uid="{2F831657-7472-4325-8652-FE8905880F1F}"/>
    <cellStyle name="40% - Accent1 2 7 4" xfId="10438" xr:uid="{B3690BD5-431C-4D7B-91BE-F92B8A507006}"/>
    <cellStyle name="40% - Accent1 2 8" xfId="2313" xr:uid="{00000000-0005-0000-0000-00000F040000}"/>
    <cellStyle name="40% - Accent1 2 8 2" xfId="6619" xr:uid="{00000000-0005-0000-0000-000010040000}"/>
    <cellStyle name="40% - Accent1 2 8 2 2" xfId="15069" xr:uid="{E90C67AA-37D0-42CA-95B8-C564362EF078}"/>
    <cellStyle name="40% - Accent1 2 8 3" xfId="10851" xr:uid="{7EF95C59-0C4C-4B92-AED6-D1A42110D942}"/>
    <cellStyle name="40% - Accent1 2 9" xfId="4553" xr:uid="{00000000-0005-0000-0000-000011040000}"/>
    <cellStyle name="40% - Accent1 2 9 2" xfId="13003" xr:uid="{4F32CA35-742A-4A41-ADCF-B44D465D1C33}"/>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C1B54B7B-D254-448C-93E1-54D96E13EDBB}"/>
    <cellStyle name="40% - Accent1 3 2 2 2 3" xfId="11349" xr:uid="{29151492-CEF9-415C-BC5B-55852C1A562B}"/>
    <cellStyle name="40% - Accent1 3 2 2 3" xfId="4972" xr:uid="{00000000-0005-0000-0000-000017040000}"/>
    <cellStyle name="40% - Accent1 3 2 2 3 2" xfId="13422" xr:uid="{4B4D1767-D984-4C97-A920-B9FBC91CD224}"/>
    <cellStyle name="40% - Accent1 3 2 2 4" xfId="9204" xr:uid="{18FF5703-1DA3-49CA-80D6-3A1E46B6FE92}"/>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EBBEFBF4-E11A-4057-A0CC-92671F073AD8}"/>
    <cellStyle name="40% - Accent1 3 2 3 2 3" xfId="11762" xr:uid="{2B3227CA-3C87-45BE-A604-2CFEDC6AA8CB}"/>
    <cellStyle name="40% - Accent1 3 2 3 3" xfId="5385" xr:uid="{00000000-0005-0000-0000-00001B040000}"/>
    <cellStyle name="40% - Accent1 3 2 3 3 2" xfId="13835" xr:uid="{7B3576F0-7DD5-43D5-B8D7-EEAAA9427B1B}"/>
    <cellStyle name="40% - Accent1 3 2 3 4" xfId="9617" xr:uid="{58F6703B-BDA7-4CDB-A065-FF4930E2198B}"/>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7A0E2B81-56B9-453A-A61F-24624A08BDB9}"/>
    <cellStyle name="40% - Accent1 3 2 4 2 3" xfId="12175" xr:uid="{D8C21DD2-10B8-4AB3-A95C-71E21B0ADF5A}"/>
    <cellStyle name="40% - Accent1 3 2 4 3" xfId="5798" xr:uid="{00000000-0005-0000-0000-00001F040000}"/>
    <cellStyle name="40% - Accent1 3 2 4 3 2" xfId="14248" xr:uid="{4A6979F5-197F-445B-A0A7-791BCC515B27}"/>
    <cellStyle name="40% - Accent1 3 2 4 4" xfId="10030" xr:uid="{1B50C873-80AA-4D67-AD43-E15EA836D08A}"/>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625D3B49-F644-4FAD-B20C-C28C821B2D83}"/>
    <cellStyle name="40% - Accent1 3 2 5 2 3" xfId="12588" xr:uid="{E92BF7AD-9DE0-4DD1-979F-2B961A3D7AEF}"/>
    <cellStyle name="40% - Accent1 3 2 5 3" xfId="6211" xr:uid="{00000000-0005-0000-0000-000023040000}"/>
    <cellStyle name="40% - Accent1 3 2 5 3 2" xfId="14661" xr:uid="{01FE7B63-5990-4641-AA8A-B92058557BB6}"/>
    <cellStyle name="40% - Accent1 3 2 5 4" xfId="10443" xr:uid="{C6A21DE0-D433-4F86-9575-EFD242A19E6F}"/>
    <cellStyle name="40% - Accent1 3 2 6" xfId="2318" xr:uid="{00000000-0005-0000-0000-000024040000}"/>
    <cellStyle name="40% - Accent1 3 2 6 2" xfId="6624" xr:uid="{00000000-0005-0000-0000-000025040000}"/>
    <cellStyle name="40% - Accent1 3 2 6 2 2" xfId="15074" xr:uid="{B808D16C-458E-4C9C-91F8-95B9513CC9C6}"/>
    <cellStyle name="40% - Accent1 3 2 6 3" xfId="10856" xr:uid="{2942D34A-237B-46A2-AC5F-9CE56D3D6DBA}"/>
    <cellStyle name="40% - Accent1 3 2 7" xfId="4558" xr:uid="{00000000-0005-0000-0000-000026040000}"/>
    <cellStyle name="40% - Accent1 3 2 7 2" xfId="13008" xr:uid="{8C68CB0E-1886-4774-B418-7D4C487874A6}"/>
    <cellStyle name="40% - Accent1 3 2 8" xfId="8790" xr:uid="{6C421BA2-8AEC-4D40-A010-250593454F50}"/>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BE22AB2F-F82C-4CA7-AD2B-80CCD09FD97B}"/>
    <cellStyle name="40% - Accent1 3 3 2 3" xfId="11348" xr:uid="{55B9E35C-430E-4CC5-80CC-398DA8B06858}"/>
    <cellStyle name="40% - Accent1 3 3 3" xfId="4971" xr:uid="{00000000-0005-0000-0000-00002A040000}"/>
    <cellStyle name="40% - Accent1 3 3 3 2" xfId="13421" xr:uid="{2ACD1004-B82E-4121-861D-220EEBD97072}"/>
    <cellStyle name="40% - Accent1 3 3 4" xfId="9203" xr:uid="{AD3F5C4C-E7F9-4F43-B2FA-D556D0CD5573}"/>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7E616040-4223-4AD0-99B9-6D4214411EB3}"/>
    <cellStyle name="40% - Accent1 3 4 2 3" xfId="11761" xr:uid="{9B9D346F-6D68-4356-B0EE-84D80256A07A}"/>
    <cellStyle name="40% - Accent1 3 4 3" xfId="5384" xr:uid="{00000000-0005-0000-0000-00002E040000}"/>
    <cellStyle name="40% - Accent1 3 4 3 2" xfId="13834" xr:uid="{80BAADAA-DB28-4280-9C89-AC9792213A42}"/>
    <cellStyle name="40% - Accent1 3 4 4" xfId="9616" xr:uid="{48E55752-1903-4C36-B4D8-901B40FB704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6864F331-C5FD-4FC1-939A-01AF78641C1D}"/>
    <cellStyle name="40% - Accent1 3 5 2 3" xfId="12174" xr:uid="{38724EE7-A756-4623-9CEE-976F166DF902}"/>
    <cellStyle name="40% - Accent1 3 5 3" xfId="5797" xr:uid="{00000000-0005-0000-0000-000032040000}"/>
    <cellStyle name="40% - Accent1 3 5 3 2" xfId="14247" xr:uid="{502C7A76-5D39-4377-BC7B-69353841F457}"/>
    <cellStyle name="40% - Accent1 3 5 4" xfId="10029" xr:uid="{FBCC959F-223E-4BBF-AD36-71973A9EA9D1}"/>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3FB3EF1F-528A-4323-B2E7-A14EDC357073}"/>
    <cellStyle name="40% - Accent1 3 6 2 3" xfId="12587" xr:uid="{6863EC56-6FD8-40F4-B1B3-0AE693BF7145}"/>
    <cellStyle name="40% - Accent1 3 6 3" xfId="6210" xr:uid="{00000000-0005-0000-0000-000036040000}"/>
    <cellStyle name="40% - Accent1 3 6 3 2" xfId="14660" xr:uid="{471C8E7A-0CF7-484F-AEE6-48049E2207A7}"/>
    <cellStyle name="40% - Accent1 3 6 4" xfId="10442" xr:uid="{1D98F89D-ABA7-4A89-B5F3-FA69F45F5891}"/>
    <cellStyle name="40% - Accent1 3 7" xfId="2317" xr:uid="{00000000-0005-0000-0000-000037040000}"/>
    <cellStyle name="40% - Accent1 3 7 2" xfId="6623" xr:uid="{00000000-0005-0000-0000-000038040000}"/>
    <cellStyle name="40% - Accent1 3 7 2 2" xfId="15073" xr:uid="{E3BAAC8A-1D67-4967-B3C4-D815F4098C4E}"/>
    <cellStyle name="40% - Accent1 3 7 3" xfId="10855" xr:uid="{B6AE0441-D819-4972-B461-06D5E20FC39F}"/>
    <cellStyle name="40% - Accent1 3 8" xfId="4557" xr:uid="{00000000-0005-0000-0000-000039040000}"/>
    <cellStyle name="40% - Accent1 3 8 2" xfId="13007" xr:uid="{D2F6B7CD-C059-49BB-9E57-5CC67E82C308}"/>
    <cellStyle name="40% - Accent1 3 9" xfId="8789" xr:uid="{6E23FF99-BB7E-4BDD-BBB7-3FD55B6FBAEB}"/>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7C906F4A-8A93-4749-91F7-66D090C3D202}"/>
    <cellStyle name="40% - Accent1 4 2 2 3" xfId="11350" xr:uid="{94CCBE1E-A492-473C-BFDE-6346782D37B2}"/>
    <cellStyle name="40% - Accent1 4 2 3" xfId="4973" xr:uid="{00000000-0005-0000-0000-00003E040000}"/>
    <cellStyle name="40% - Accent1 4 2 3 2" xfId="13423" xr:uid="{DBC093F4-55F7-4AF9-AD00-BB0A423E1E4C}"/>
    <cellStyle name="40% - Accent1 4 2 4" xfId="9205" xr:uid="{53F4964D-DF13-4F3B-A682-7BCAAC508686}"/>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018BC21A-9B05-4081-9847-9E8E2CDE092E}"/>
    <cellStyle name="40% - Accent1 4 3 2 3" xfId="11763" xr:uid="{0B6B84B6-AB10-4380-9F2D-B093584A342C}"/>
    <cellStyle name="40% - Accent1 4 3 3" xfId="5386" xr:uid="{00000000-0005-0000-0000-000042040000}"/>
    <cellStyle name="40% - Accent1 4 3 3 2" xfId="13836" xr:uid="{772B1CCB-DC4F-4E74-8A7E-9F2DCDAB7F6F}"/>
    <cellStyle name="40% - Accent1 4 3 4" xfId="9618" xr:uid="{3E7E3E1C-1152-4D19-AABA-5CDD3E1B1E2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E2AE1375-FC4C-4B21-B34A-EA36F34EFFA6}"/>
    <cellStyle name="40% - Accent1 4 4 2 3" xfId="12176" xr:uid="{27C4187D-1CFC-48F6-956C-2D4BA977B153}"/>
    <cellStyle name="40% - Accent1 4 4 3" xfId="5799" xr:uid="{00000000-0005-0000-0000-000046040000}"/>
    <cellStyle name="40% - Accent1 4 4 3 2" xfId="14249" xr:uid="{03B5070B-1E32-42CE-920F-CFC6CAF78A5E}"/>
    <cellStyle name="40% - Accent1 4 4 4" xfId="10031" xr:uid="{38C0399C-0E89-4C90-9651-319A8CE6EE71}"/>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1462404F-0B49-4A0C-BD8E-C32EAD1C3F93}"/>
    <cellStyle name="40% - Accent1 4 5 2 3" xfId="12589" xr:uid="{0873413E-27AA-4D1D-84D9-8FF5D694D495}"/>
    <cellStyle name="40% - Accent1 4 5 3" xfId="6212" xr:uid="{00000000-0005-0000-0000-00004A040000}"/>
    <cellStyle name="40% - Accent1 4 5 3 2" xfId="14662" xr:uid="{50AAC1DF-6DF1-4657-91FE-447079F9C0FF}"/>
    <cellStyle name="40% - Accent1 4 5 4" xfId="10444" xr:uid="{989957F4-8479-4F76-B7FB-C66642E7D733}"/>
    <cellStyle name="40% - Accent1 4 6" xfId="2319" xr:uid="{00000000-0005-0000-0000-00004B040000}"/>
    <cellStyle name="40% - Accent1 4 6 2" xfId="6625" xr:uid="{00000000-0005-0000-0000-00004C040000}"/>
    <cellStyle name="40% - Accent1 4 6 2 2" xfId="15075" xr:uid="{E5CD0E77-4F1E-45B2-A69D-F8D90311578B}"/>
    <cellStyle name="40% - Accent1 4 6 3" xfId="10857" xr:uid="{686F2222-8EF4-4C6D-B334-D46B8596A8BD}"/>
    <cellStyle name="40% - Accent1 4 7" xfId="4559" xr:uid="{00000000-0005-0000-0000-00004D040000}"/>
    <cellStyle name="40% - Accent1 4 7 2" xfId="13009" xr:uid="{9099485F-0BCF-4356-B91A-BF5C5501C7A7}"/>
    <cellStyle name="40% - Accent1 4 8" xfId="8791" xr:uid="{8C1A0A2A-98B8-4B55-A610-E6C5C8A8FD70}"/>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95531F4A-D0E9-47E5-A843-39B50D8A6B93}"/>
    <cellStyle name="40% - Accent1 5 2 3" xfId="11343" xr:uid="{09F80E24-BF2D-4236-BD55-FDEFA4AB68FF}"/>
    <cellStyle name="40% - Accent1 5 3" xfId="4966" xr:uid="{00000000-0005-0000-0000-000051040000}"/>
    <cellStyle name="40% - Accent1 5 3 2" xfId="13416" xr:uid="{F7933C9D-E9FD-40EA-A30F-840B1DCB201C}"/>
    <cellStyle name="40% - Accent1 5 4" xfId="9198" xr:uid="{FAA638F7-7024-4A84-97A3-557AE8E38C5C}"/>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A7D9D6AC-498C-4D84-9C31-6BDDC53F1E3C}"/>
    <cellStyle name="40% - Accent1 6 2 3" xfId="11756" xr:uid="{6D4AC9DF-07B1-497E-96E7-93481711BFAA}"/>
    <cellStyle name="40% - Accent1 6 3" xfId="5379" xr:uid="{00000000-0005-0000-0000-000055040000}"/>
    <cellStyle name="40% - Accent1 6 3 2" xfId="13829" xr:uid="{1A54CADE-8E20-442F-9F28-5D57C6292587}"/>
    <cellStyle name="40% - Accent1 6 4" xfId="9611" xr:uid="{7B8C0A1B-7CD5-46A2-90B4-51FBCA762280}"/>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BFAD73EF-D53E-4F3E-A6E5-A0ADEA941A89}"/>
    <cellStyle name="40% - Accent1 7 2 3" xfId="12169" xr:uid="{3F2FA57D-1E82-4ACD-9A2F-DCFACF285C21}"/>
    <cellStyle name="40% - Accent1 7 3" xfId="5792" xr:uid="{00000000-0005-0000-0000-000059040000}"/>
    <cellStyle name="40% - Accent1 7 3 2" xfId="14242" xr:uid="{6186E5F8-8F77-4B4D-A4AA-0F9E54C30F07}"/>
    <cellStyle name="40% - Accent1 7 4" xfId="10024" xr:uid="{6FEEF32F-4E42-43B6-A99C-005B8564137C}"/>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EE4174A5-B5BF-4838-9711-7AC71A8F4BA8}"/>
    <cellStyle name="40% - Accent1 8 2 3" xfId="12582" xr:uid="{D1DC27A8-E528-4AC1-A88E-7452A789DCAB}"/>
    <cellStyle name="40% - Accent1 8 3" xfId="6205" xr:uid="{00000000-0005-0000-0000-00005D040000}"/>
    <cellStyle name="40% - Accent1 8 3 2" xfId="14655" xr:uid="{EEC3304E-EE2A-4169-AB48-544ACE0A1703}"/>
    <cellStyle name="40% - Accent1 8 4" xfId="10437" xr:uid="{0AB5DC79-D1B9-41D8-A49B-F74589BDEE9B}"/>
    <cellStyle name="40% - Accent1 9" xfId="2312" xr:uid="{00000000-0005-0000-0000-00005E040000}"/>
    <cellStyle name="40% - Accent1 9 2" xfId="6618" xr:uid="{00000000-0005-0000-0000-00005F040000}"/>
    <cellStyle name="40% - Accent1 9 2 2" xfId="15068" xr:uid="{4FBF40F6-4F09-4AD8-8B16-964A774870BE}"/>
    <cellStyle name="40% - Accent1 9 3" xfId="10850" xr:uid="{66EA8A57-4E38-4070-89E3-63CE6863348D}"/>
    <cellStyle name="40% - Accent2" xfId="57" builtinId="35" customBuiltin="1"/>
    <cellStyle name="40% - Accent2 10" xfId="4560" xr:uid="{00000000-0005-0000-0000-000061040000}"/>
    <cellStyle name="40% - Accent2 10 2" xfId="13010" xr:uid="{83BD1425-9C85-4EFD-BCA5-B18934730334}"/>
    <cellStyle name="40% - Accent2 11" xfId="8792" xr:uid="{F2E92CBF-BEEB-4446-8558-DA8D40BE363E}"/>
    <cellStyle name="40% - Accent2 2" xfId="58" xr:uid="{00000000-0005-0000-0000-000062040000}"/>
    <cellStyle name="40% - Accent2 2 10" xfId="8793" xr:uid="{6F21D569-9C09-454C-AD67-A92D99C40D3B}"/>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E1349349-D41E-4D60-995F-4EC83B6C8E37}"/>
    <cellStyle name="40% - Accent2 2 2 2 2 2 3" xfId="11354" xr:uid="{E144893C-447E-4929-8147-36FCE215B1DF}"/>
    <cellStyle name="40% - Accent2 2 2 2 2 3" xfId="4977" xr:uid="{00000000-0005-0000-0000-000068040000}"/>
    <cellStyle name="40% - Accent2 2 2 2 2 3 2" xfId="13427" xr:uid="{9A9DE1FD-DB2D-40C3-8EF9-DABD0B124DF0}"/>
    <cellStyle name="40% - Accent2 2 2 2 2 4" xfId="9209" xr:uid="{126B387F-984F-4704-BBCB-90A2664C790D}"/>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90C7ED9F-7373-495C-98C0-2FEE91C43658}"/>
    <cellStyle name="40% - Accent2 2 2 2 3 2 3" xfId="11767" xr:uid="{3BEB27FE-D990-4895-90E1-E02A74FDB762}"/>
    <cellStyle name="40% - Accent2 2 2 2 3 3" xfId="5390" xr:uid="{00000000-0005-0000-0000-00006C040000}"/>
    <cellStyle name="40% - Accent2 2 2 2 3 3 2" xfId="13840" xr:uid="{359CAAC8-0C57-4258-BF0A-5416C927FE5C}"/>
    <cellStyle name="40% - Accent2 2 2 2 3 4" xfId="9622" xr:uid="{1F3C318B-8A71-44D1-A429-7C6B299E1A3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5690277B-AD2C-4703-8BBA-CE01E43DA466}"/>
    <cellStyle name="40% - Accent2 2 2 2 4 2 3" xfId="12180" xr:uid="{03F4015A-94A1-4FCE-9A81-784EF044D3BB}"/>
    <cellStyle name="40% - Accent2 2 2 2 4 3" xfId="5803" xr:uid="{00000000-0005-0000-0000-000070040000}"/>
    <cellStyle name="40% - Accent2 2 2 2 4 3 2" xfId="14253" xr:uid="{8C3B78CA-D111-43D0-A94F-3D7E6001AA5D}"/>
    <cellStyle name="40% - Accent2 2 2 2 4 4" xfId="10035" xr:uid="{97807A6B-7D76-42EA-85C6-8D74C8BFAE0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FDA369F9-727B-42F6-8AD3-1B576E036219}"/>
    <cellStyle name="40% - Accent2 2 2 2 5 2 3" xfId="12593" xr:uid="{0F765B71-7219-4D1C-9360-00DC9187713D}"/>
    <cellStyle name="40% - Accent2 2 2 2 5 3" xfId="6216" xr:uid="{00000000-0005-0000-0000-000074040000}"/>
    <cellStyle name="40% - Accent2 2 2 2 5 3 2" xfId="14666" xr:uid="{226AE9EA-79BD-4E91-B6AC-73E9480BC1A0}"/>
    <cellStyle name="40% - Accent2 2 2 2 5 4" xfId="10448" xr:uid="{F66A005E-D9B0-442A-864F-5DDF6A2A6727}"/>
    <cellStyle name="40% - Accent2 2 2 2 6" xfId="2323" xr:uid="{00000000-0005-0000-0000-000075040000}"/>
    <cellStyle name="40% - Accent2 2 2 2 6 2" xfId="6629" xr:uid="{00000000-0005-0000-0000-000076040000}"/>
    <cellStyle name="40% - Accent2 2 2 2 6 2 2" xfId="15079" xr:uid="{06EE079D-A00C-4D60-A28C-F8375000DBDD}"/>
    <cellStyle name="40% - Accent2 2 2 2 6 3" xfId="10861" xr:uid="{822B4BC6-132F-40B0-B93B-52C685153D36}"/>
    <cellStyle name="40% - Accent2 2 2 2 7" xfId="4563" xr:uid="{00000000-0005-0000-0000-000077040000}"/>
    <cellStyle name="40% - Accent2 2 2 2 7 2" xfId="13013" xr:uid="{A47FD2CE-068D-4183-93BE-DCBB51A99130}"/>
    <cellStyle name="40% - Accent2 2 2 2 8" xfId="8795" xr:uid="{ADBF0D12-950D-45C4-8428-12205A423D48}"/>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406C9897-3309-48C7-BBFB-7C43C0026C5B}"/>
    <cellStyle name="40% - Accent2 2 2 3 2 3" xfId="11353" xr:uid="{4D9B22B4-A4E4-4790-BD25-2D2AF5CA4F3D}"/>
    <cellStyle name="40% - Accent2 2 2 3 3" xfId="4976" xr:uid="{00000000-0005-0000-0000-00007B040000}"/>
    <cellStyle name="40% - Accent2 2 2 3 3 2" xfId="13426" xr:uid="{41B0CCB3-5606-4723-B454-9AC55D592229}"/>
    <cellStyle name="40% - Accent2 2 2 3 4" xfId="9208" xr:uid="{ADCA1D7C-EC9F-4942-941B-9B1918B6BA38}"/>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5E50A926-22C3-4D01-861C-3CECBA8A6870}"/>
    <cellStyle name="40% - Accent2 2 2 4 2 3" xfId="11766" xr:uid="{8CEA4794-D902-47CC-BB5E-23863B6A7EEC}"/>
    <cellStyle name="40% - Accent2 2 2 4 3" xfId="5389" xr:uid="{00000000-0005-0000-0000-00007F040000}"/>
    <cellStyle name="40% - Accent2 2 2 4 3 2" xfId="13839" xr:uid="{A3D5EA87-4C39-469A-9A1E-4080E4A5F7E7}"/>
    <cellStyle name="40% - Accent2 2 2 4 4" xfId="9621" xr:uid="{69E8B363-E2BB-4494-8171-E6D2DDFAC1E2}"/>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D22DB70E-F113-4492-9BC8-76F0C38392ED}"/>
    <cellStyle name="40% - Accent2 2 2 5 2 3" xfId="12179" xr:uid="{6E63F4E1-EF85-4F90-98ED-EA463428396B}"/>
    <cellStyle name="40% - Accent2 2 2 5 3" xfId="5802" xr:uid="{00000000-0005-0000-0000-000083040000}"/>
    <cellStyle name="40% - Accent2 2 2 5 3 2" xfId="14252" xr:uid="{84C885BD-B489-464C-9041-6159038B3318}"/>
    <cellStyle name="40% - Accent2 2 2 5 4" xfId="10034" xr:uid="{E085F649-D625-455F-83BA-ACBA6400C139}"/>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EBEE9410-D739-4D39-8DE0-94F7AFB16296}"/>
    <cellStyle name="40% - Accent2 2 2 6 2 3" xfId="12592" xr:uid="{C7ADB8FE-3F6C-44BB-9DC1-E94E0579674D}"/>
    <cellStyle name="40% - Accent2 2 2 6 3" xfId="6215" xr:uid="{00000000-0005-0000-0000-000087040000}"/>
    <cellStyle name="40% - Accent2 2 2 6 3 2" xfId="14665" xr:uid="{50AFD951-9DCF-4940-B144-E5A82D63D8EF}"/>
    <cellStyle name="40% - Accent2 2 2 6 4" xfId="10447" xr:uid="{BED0D81C-EBA2-4D79-885D-584F0340EE47}"/>
    <cellStyle name="40% - Accent2 2 2 7" xfId="2322" xr:uid="{00000000-0005-0000-0000-000088040000}"/>
    <cellStyle name="40% - Accent2 2 2 7 2" xfId="6628" xr:uid="{00000000-0005-0000-0000-000089040000}"/>
    <cellStyle name="40% - Accent2 2 2 7 2 2" xfId="15078" xr:uid="{855C2A66-3B09-4FA3-821C-6C03DFAF3742}"/>
    <cellStyle name="40% - Accent2 2 2 7 3" xfId="10860" xr:uid="{19C9F405-4F24-4CBC-93FF-388811F2E4ED}"/>
    <cellStyle name="40% - Accent2 2 2 8" xfId="4562" xr:uid="{00000000-0005-0000-0000-00008A040000}"/>
    <cellStyle name="40% - Accent2 2 2 8 2" xfId="13012" xr:uid="{0310CC33-93A6-452B-939E-553BE2C27FC0}"/>
    <cellStyle name="40% - Accent2 2 2 9" xfId="8794" xr:uid="{265D0E35-B236-423B-9A9D-108A201B8386}"/>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150D7CFF-9917-4C8C-8C7E-1718F6509F6D}"/>
    <cellStyle name="40% - Accent2 2 3 2 2 3" xfId="11355" xr:uid="{58E1C408-AF0D-44EC-9E4F-5A7763C85A6E}"/>
    <cellStyle name="40% - Accent2 2 3 2 3" xfId="4978" xr:uid="{00000000-0005-0000-0000-00008F040000}"/>
    <cellStyle name="40% - Accent2 2 3 2 3 2" xfId="13428" xr:uid="{90749FE3-58C1-4A93-9987-002CD4D490CE}"/>
    <cellStyle name="40% - Accent2 2 3 2 4" xfId="9210" xr:uid="{6D6953FC-146C-4086-A3CE-9C0AF89CC90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A43AF238-4EB9-4B8F-B064-5538F17E75B8}"/>
    <cellStyle name="40% - Accent2 2 3 3 2 3" xfId="11768" xr:uid="{7185A0ED-B06A-4EA5-9331-0CDA09A4C524}"/>
    <cellStyle name="40% - Accent2 2 3 3 3" xfId="5391" xr:uid="{00000000-0005-0000-0000-000093040000}"/>
    <cellStyle name="40% - Accent2 2 3 3 3 2" xfId="13841" xr:uid="{7E99F9F4-EBAC-4C86-812F-5370B2C8096C}"/>
    <cellStyle name="40% - Accent2 2 3 3 4" xfId="9623" xr:uid="{2B9EA79E-0469-4E0B-BC21-391E8E601B5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0071BE2F-63B0-4F20-9DF7-08FA5E61BCA8}"/>
    <cellStyle name="40% - Accent2 2 3 4 2 3" xfId="12181" xr:uid="{9F130489-5B34-4F1D-8FFD-45EDF7322116}"/>
    <cellStyle name="40% - Accent2 2 3 4 3" xfId="5804" xr:uid="{00000000-0005-0000-0000-000097040000}"/>
    <cellStyle name="40% - Accent2 2 3 4 3 2" xfId="14254" xr:uid="{0EA8CBC6-BBA2-4961-8838-65898A750CA5}"/>
    <cellStyle name="40% - Accent2 2 3 4 4" xfId="10036" xr:uid="{45E0C619-D0E7-41C0-87E4-085BBABA4AF1}"/>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F51B443D-D8DB-4E7E-AABD-990C90039DD7}"/>
    <cellStyle name="40% - Accent2 2 3 5 2 3" xfId="12594" xr:uid="{E42E6226-8A69-471E-81CA-A9356B3265B9}"/>
    <cellStyle name="40% - Accent2 2 3 5 3" xfId="6217" xr:uid="{00000000-0005-0000-0000-00009B040000}"/>
    <cellStyle name="40% - Accent2 2 3 5 3 2" xfId="14667" xr:uid="{DE1CFDF6-2F59-409E-A430-C713C28FBD00}"/>
    <cellStyle name="40% - Accent2 2 3 5 4" xfId="10449" xr:uid="{24CEC28B-D33C-494A-BB7B-1D7C10CBD592}"/>
    <cellStyle name="40% - Accent2 2 3 6" xfId="2324" xr:uid="{00000000-0005-0000-0000-00009C040000}"/>
    <cellStyle name="40% - Accent2 2 3 6 2" xfId="6630" xr:uid="{00000000-0005-0000-0000-00009D040000}"/>
    <cellStyle name="40% - Accent2 2 3 6 2 2" xfId="15080" xr:uid="{825AEA73-4459-4592-802C-0F04619FF509}"/>
    <cellStyle name="40% - Accent2 2 3 6 3" xfId="10862" xr:uid="{18199F20-D979-4F40-910A-3FCCFC697E67}"/>
    <cellStyle name="40% - Accent2 2 3 7" xfId="4564" xr:uid="{00000000-0005-0000-0000-00009E040000}"/>
    <cellStyle name="40% - Accent2 2 3 7 2" xfId="13014" xr:uid="{0D57BE18-291A-49D3-BCA3-D41548459C90}"/>
    <cellStyle name="40% - Accent2 2 3 8" xfId="8796" xr:uid="{8A68BBF7-448A-48E4-BE85-E671B22F2DC5}"/>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746C2C41-6E59-4AB5-9747-7F0109E41A60}"/>
    <cellStyle name="40% - Accent2 2 4 2 3" xfId="11352" xr:uid="{33E11BB0-912E-4B0B-8575-0A39D2031120}"/>
    <cellStyle name="40% - Accent2 2 4 3" xfId="4975" xr:uid="{00000000-0005-0000-0000-0000A2040000}"/>
    <cellStyle name="40% - Accent2 2 4 3 2" xfId="13425" xr:uid="{F2FCC8B6-2DBB-4B8B-A19B-E71258A0E473}"/>
    <cellStyle name="40% - Accent2 2 4 4" xfId="9207" xr:uid="{3A335AC0-95D1-4410-B5A3-4EBF5A38CF2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5871A990-2B8E-49DB-A15E-020F94354DFC}"/>
    <cellStyle name="40% - Accent2 2 5 2 3" xfId="11765" xr:uid="{998CCB3E-C6F8-461F-9C1B-E90D0AE6FE47}"/>
    <cellStyle name="40% - Accent2 2 5 3" xfId="5388" xr:uid="{00000000-0005-0000-0000-0000A6040000}"/>
    <cellStyle name="40% - Accent2 2 5 3 2" xfId="13838" xr:uid="{084455BD-33F1-4F78-B0CB-BB6AB9BDDEA0}"/>
    <cellStyle name="40% - Accent2 2 5 4" xfId="9620" xr:uid="{E510E8C0-1024-4138-B263-7B4AC22988A4}"/>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65278DBD-4A89-44E8-A35F-BA75F2D1307F}"/>
    <cellStyle name="40% - Accent2 2 6 2 3" xfId="12178" xr:uid="{03DADD20-F325-4D86-9E78-A0381B722090}"/>
    <cellStyle name="40% - Accent2 2 6 3" xfId="5801" xr:uid="{00000000-0005-0000-0000-0000AA040000}"/>
    <cellStyle name="40% - Accent2 2 6 3 2" xfId="14251" xr:uid="{C7515AC7-B1DD-4CBA-B626-ACAA3255FBD2}"/>
    <cellStyle name="40% - Accent2 2 6 4" xfId="10033" xr:uid="{AD4B5870-1F30-4782-952A-05AECA3976D7}"/>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8534BF52-1D0E-4702-89CC-612AA745DF3E}"/>
    <cellStyle name="40% - Accent2 2 7 2 3" xfId="12591" xr:uid="{DB130CD0-24DD-4998-85A0-7D0B46361F40}"/>
    <cellStyle name="40% - Accent2 2 7 3" xfId="6214" xr:uid="{00000000-0005-0000-0000-0000AE040000}"/>
    <cellStyle name="40% - Accent2 2 7 3 2" xfId="14664" xr:uid="{66F773B9-6699-4833-9A13-A71DF7257F4A}"/>
    <cellStyle name="40% - Accent2 2 7 4" xfId="10446" xr:uid="{FC95BA97-5E31-4C77-8E55-93358D9AADD5}"/>
    <cellStyle name="40% - Accent2 2 8" xfId="2321" xr:uid="{00000000-0005-0000-0000-0000AF040000}"/>
    <cellStyle name="40% - Accent2 2 8 2" xfId="6627" xr:uid="{00000000-0005-0000-0000-0000B0040000}"/>
    <cellStyle name="40% - Accent2 2 8 2 2" xfId="15077" xr:uid="{8EBDA03F-C866-4B7D-8CD7-C938A616599B}"/>
    <cellStyle name="40% - Accent2 2 8 3" xfId="10859" xr:uid="{51464BBC-1E38-48C5-8E46-45F8B939FD69}"/>
    <cellStyle name="40% - Accent2 2 9" xfId="4561" xr:uid="{00000000-0005-0000-0000-0000B1040000}"/>
    <cellStyle name="40% - Accent2 2 9 2" xfId="13011" xr:uid="{B8F415D2-00A4-48A4-AD4A-9D568F74FC8C}"/>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56AF0FE3-89AA-4023-A026-CAD36B104904}"/>
    <cellStyle name="40% - Accent2 3 2 2 2 3" xfId="11357" xr:uid="{C9010DF6-CA84-48F4-9CC1-7A955E805592}"/>
    <cellStyle name="40% - Accent2 3 2 2 3" xfId="4980" xr:uid="{00000000-0005-0000-0000-0000B7040000}"/>
    <cellStyle name="40% - Accent2 3 2 2 3 2" xfId="13430" xr:uid="{5DD8BCFA-C0C5-44FF-A002-395B0F6F8E94}"/>
    <cellStyle name="40% - Accent2 3 2 2 4" xfId="9212" xr:uid="{29188AA9-F839-406E-B27F-CB2804219305}"/>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9FC042D7-E9DA-4D4D-919F-824C64B5C1C3}"/>
    <cellStyle name="40% - Accent2 3 2 3 2 3" xfId="11770" xr:uid="{0E4440A7-8344-48AC-BDF7-AE2A1D77BAA3}"/>
    <cellStyle name="40% - Accent2 3 2 3 3" xfId="5393" xr:uid="{00000000-0005-0000-0000-0000BB040000}"/>
    <cellStyle name="40% - Accent2 3 2 3 3 2" xfId="13843" xr:uid="{429B32A1-2393-4D5D-B281-433FC180DAF0}"/>
    <cellStyle name="40% - Accent2 3 2 3 4" xfId="9625" xr:uid="{25559082-5E50-403F-ABFF-ABA814E6368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B5B2BBF0-8677-40EA-8E61-0959A2BD800F}"/>
    <cellStyle name="40% - Accent2 3 2 4 2 3" xfId="12183" xr:uid="{744551AE-24EE-4015-A3B3-20B287A84F96}"/>
    <cellStyle name="40% - Accent2 3 2 4 3" xfId="5806" xr:uid="{00000000-0005-0000-0000-0000BF040000}"/>
    <cellStyle name="40% - Accent2 3 2 4 3 2" xfId="14256" xr:uid="{41E4D5FF-17DD-4CB5-A85C-5EA50ABFF04E}"/>
    <cellStyle name="40% - Accent2 3 2 4 4" xfId="10038" xr:uid="{8A0FC55A-033E-4573-A3CE-53B61199F526}"/>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748EBB82-6F5E-4354-9695-D3A69151847B}"/>
    <cellStyle name="40% - Accent2 3 2 5 2 3" xfId="12596" xr:uid="{2F067FE4-8195-4FEB-9CCE-CCD90692D7B5}"/>
    <cellStyle name="40% - Accent2 3 2 5 3" xfId="6219" xr:uid="{00000000-0005-0000-0000-0000C3040000}"/>
    <cellStyle name="40% - Accent2 3 2 5 3 2" xfId="14669" xr:uid="{AD9A6C46-DE3C-42D7-A82F-99E388FF6C78}"/>
    <cellStyle name="40% - Accent2 3 2 5 4" xfId="10451" xr:uid="{EEEA4C4F-CCB5-421A-941D-7A7DA3DF89BD}"/>
    <cellStyle name="40% - Accent2 3 2 6" xfId="2326" xr:uid="{00000000-0005-0000-0000-0000C4040000}"/>
    <cellStyle name="40% - Accent2 3 2 6 2" xfId="6632" xr:uid="{00000000-0005-0000-0000-0000C5040000}"/>
    <cellStyle name="40% - Accent2 3 2 6 2 2" xfId="15082" xr:uid="{18602F63-69FB-4279-BEEA-6A4ACC1A3AF0}"/>
    <cellStyle name="40% - Accent2 3 2 6 3" xfId="10864" xr:uid="{73419F0B-3F9B-4801-B618-9C795F71326E}"/>
    <cellStyle name="40% - Accent2 3 2 7" xfId="4566" xr:uid="{00000000-0005-0000-0000-0000C6040000}"/>
    <cellStyle name="40% - Accent2 3 2 7 2" xfId="13016" xr:uid="{120F1ACB-9282-4A17-BEC9-6D00BEFE2C0E}"/>
    <cellStyle name="40% - Accent2 3 2 8" xfId="8798" xr:uid="{CE7FAA76-580E-43A0-A45C-CE0A966CA92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9A315B38-F5DE-4A3E-AF35-4A1E9F1EC547}"/>
    <cellStyle name="40% - Accent2 3 3 2 3" xfId="11356" xr:uid="{2BBC7B48-39E4-45A9-99BB-7172F535CB67}"/>
    <cellStyle name="40% - Accent2 3 3 3" xfId="4979" xr:uid="{00000000-0005-0000-0000-0000CA040000}"/>
    <cellStyle name="40% - Accent2 3 3 3 2" xfId="13429" xr:uid="{FCBC8A39-804D-4814-A52B-1B953C69D2D6}"/>
    <cellStyle name="40% - Accent2 3 3 4" xfId="9211" xr:uid="{47E4E18F-CE03-4DEC-A74C-D8E8F44240E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8E3AFE9E-B776-41CC-9F17-8DC10802DEB4}"/>
    <cellStyle name="40% - Accent2 3 4 2 3" xfId="11769" xr:uid="{C57655EE-9D9F-4941-823B-3A8D20B23DFE}"/>
    <cellStyle name="40% - Accent2 3 4 3" xfId="5392" xr:uid="{00000000-0005-0000-0000-0000CE040000}"/>
    <cellStyle name="40% - Accent2 3 4 3 2" xfId="13842" xr:uid="{3B133F25-96E9-4F33-9C13-F3D8D4A73E62}"/>
    <cellStyle name="40% - Accent2 3 4 4" xfId="9624" xr:uid="{979C3AD2-500F-4EE9-8409-B666C7393444}"/>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EFE686B6-649A-403A-8D65-6C46435AF5E9}"/>
    <cellStyle name="40% - Accent2 3 5 2 3" xfId="12182" xr:uid="{C3B29BE8-F253-4618-88FB-C4E816EACEB3}"/>
    <cellStyle name="40% - Accent2 3 5 3" xfId="5805" xr:uid="{00000000-0005-0000-0000-0000D2040000}"/>
    <cellStyle name="40% - Accent2 3 5 3 2" xfId="14255" xr:uid="{A0E1643B-D4C9-4116-8E44-793F9B975EE9}"/>
    <cellStyle name="40% - Accent2 3 5 4" xfId="10037" xr:uid="{8071F963-984D-4C96-84E2-534285AE53C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494EDA0C-399E-4EEB-A71B-8303A53CD9B1}"/>
    <cellStyle name="40% - Accent2 3 6 2 3" xfId="12595" xr:uid="{C638FD39-1FDA-489C-9D19-D2750411FB89}"/>
    <cellStyle name="40% - Accent2 3 6 3" xfId="6218" xr:uid="{00000000-0005-0000-0000-0000D6040000}"/>
    <cellStyle name="40% - Accent2 3 6 3 2" xfId="14668" xr:uid="{A03C9837-C798-443F-91D3-1E5BEC7FA3C9}"/>
    <cellStyle name="40% - Accent2 3 6 4" xfId="10450" xr:uid="{5FB434A8-FC4D-4018-826F-53EBBC6E22BB}"/>
    <cellStyle name="40% - Accent2 3 7" xfId="2325" xr:uid="{00000000-0005-0000-0000-0000D7040000}"/>
    <cellStyle name="40% - Accent2 3 7 2" xfId="6631" xr:uid="{00000000-0005-0000-0000-0000D8040000}"/>
    <cellStyle name="40% - Accent2 3 7 2 2" xfId="15081" xr:uid="{6B252FB3-CBD2-48F0-9E60-77FF5E5B7F98}"/>
    <cellStyle name="40% - Accent2 3 7 3" xfId="10863" xr:uid="{81BBA688-6A24-4FF8-A2E2-3C86531AB7C2}"/>
    <cellStyle name="40% - Accent2 3 8" xfId="4565" xr:uid="{00000000-0005-0000-0000-0000D9040000}"/>
    <cellStyle name="40% - Accent2 3 8 2" xfId="13015" xr:uid="{449E9C9F-591A-4EA8-BCB4-99B562656175}"/>
    <cellStyle name="40% - Accent2 3 9" xfId="8797" xr:uid="{851209EB-140F-46DE-9C7B-69F675D0CF2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BEEE12A9-27A7-4AB3-A8C7-36D8639CF7F1}"/>
    <cellStyle name="40% - Accent2 4 2 2 3" xfId="11358" xr:uid="{52C2F5A9-A1FB-438E-A42B-6A48E785E920}"/>
    <cellStyle name="40% - Accent2 4 2 3" xfId="4981" xr:uid="{00000000-0005-0000-0000-0000DE040000}"/>
    <cellStyle name="40% - Accent2 4 2 3 2" xfId="13431" xr:uid="{B783EBAF-1936-43DF-8033-B15A27307564}"/>
    <cellStyle name="40% - Accent2 4 2 4" xfId="9213" xr:uid="{4F2B270A-BDDD-4BBD-A831-4B695D404B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6EA00CB7-9B19-4319-A608-4D4CACADE774}"/>
    <cellStyle name="40% - Accent2 4 3 2 3" xfId="11771" xr:uid="{9FC56FAE-D8C1-424B-8DEB-515F26CAD1B2}"/>
    <cellStyle name="40% - Accent2 4 3 3" xfId="5394" xr:uid="{00000000-0005-0000-0000-0000E2040000}"/>
    <cellStyle name="40% - Accent2 4 3 3 2" xfId="13844" xr:uid="{632DBE25-95C2-4AA1-8E1C-053ADF8F6A72}"/>
    <cellStyle name="40% - Accent2 4 3 4" xfId="9626" xr:uid="{6525536D-8CBA-4967-94D5-14174D4BDEC1}"/>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CC6CF54F-C1F2-4DB4-877F-483F286476E0}"/>
    <cellStyle name="40% - Accent2 4 4 2 3" xfId="12184" xr:uid="{241B161C-0958-4767-805B-66C828A24F78}"/>
    <cellStyle name="40% - Accent2 4 4 3" xfId="5807" xr:uid="{00000000-0005-0000-0000-0000E6040000}"/>
    <cellStyle name="40% - Accent2 4 4 3 2" xfId="14257" xr:uid="{13AB265F-4CE3-473B-AC99-EC0E03AB30EB}"/>
    <cellStyle name="40% - Accent2 4 4 4" xfId="10039" xr:uid="{37C66CB4-B82A-43BE-BA73-A4A0FE0E5BA6}"/>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D1DA96BF-076E-49FC-83FF-4F4401B7EAB5}"/>
    <cellStyle name="40% - Accent2 4 5 2 3" xfId="12597" xr:uid="{E433678E-7052-4361-9894-C1FAC1794997}"/>
    <cellStyle name="40% - Accent2 4 5 3" xfId="6220" xr:uid="{00000000-0005-0000-0000-0000EA040000}"/>
    <cellStyle name="40% - Accent2 4 5 3 2" xfId="14670" xr:uid="{B6E211CF-E6AB-491A-A636-26598B5790EE}"/>
    <cellStyle name="40% - Accent2 4 5 4" xfId="10452" xr:uid="{A05EBE7E-30B3-421A-8415-5B523177C398}"/>
    <cellStyle name="40% - Accent2 4 6" xfId="2327" xr:uid="{00000000-0005-0000-0000-0000EB040000}"/>
    <cellStyle name="40% - Accent2 4 6 2" xfId="6633" xr:uid="{00000000-0005-0000-0000-0000EC040000}"/>
    <cellStyle name="40% - Accent2 4 6 2 2" xfId="15083" xr:uid="{CC3A7C0B-0A7F-40FB-9CE2-FD7285DFDD7A}"/>
    <cellStyle name="40% - Accent2 4 6 3" xfId="10865" xr:uid="{BEC654FB-2E28-421E-8C2A-5A4E56E4929A}"/>
    <cellStyle name="40% - Accent2 4 7" xfId="4567" xr:uid="{00000000-0005-0000-0000-0000ED040000}"/>
    <cellStyle name="40% - Accent2 4 7 2" xfId="13017" xr:uid="{06C0A6B5-C743-4F19-993A-D838F2F5EFFD}"/>
    <cellStyle name="40% - Accent2 4 8" xfId="8799" xr:uid="{87C00DA9-F6F7-43B1-9EE4-D75C7877A24F}"/>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197EAA29-D973-48BF-95E8-188C1DDCAD75}"/>
    <cellStyle name="40% - Accent2 5 2 3" xfId="11351" xr:uid="{32C4FCE3-6D2D-4E53-BAA8-4AE53F5B612D}"/>
    <cellStyle name="40% - Accent2 5 3" xfId="4974" xr:uid="{00000000-0005-0000-0000-0000F1040000}"/>
    <cellStyle name="40% - Accent2 5 3 2" xfId="13424" xr:uid="{09C7708F-8548-46EF-9293-EED28A12B7EF}"/>
    <cellStyle name="40% - Accent2 5 4" xfId="9206" xr:uid="{C660D5C9-82A4-4B9F-8B87-F8B7D50CBFF7}"/>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F4E95A84-9A2B-4D93-A0FA-BE4460C6924A}"/>
    <cellStyle name="40% - Accent2 6 2 3" xfId="11764" xr:uid="{E4892BF1-985A-4B2D-90C5-38DC2E570585}"/>
    <cellStyle name="40% - Accent2 6 3" xfId="5387" xr:uid="{00000000-0005-0000-0000-0000F5040000}"/>
    <cellStyle name="40% - Accent2 6 3 2" xfId="13837" xr:uid="{00B217B2-6704-48C5-AC28-AA6BC75A5431}"/>
    <cellStyle name="40% - Accent2 6 4" xfId="9619" xr:uid="{4AE6D6ED-2FA8-4412-8AEE-C15C499D6E89}"/>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4B011262-F782-45DC-AA3B-588DCE8CFF36}"/>
    <cellStyle name="40% - Accent2 7 2 3" xfId="12177" xr:uid="{B94B3F19-219D-487C-B9FE-83D0BC11F913}"/>
    <cellStyle name="40% - Accent2 7 3" xfId="5800" xr:uid="{00000000-0005-0000-0000-0000F9040000}"/>
    <cellStyle name="40% - Accent2 7 3 2" xfId="14250" xr:uid="{CDDD9DB5-7AB1-4157-AEF1-41D9277E7606}"/>
    <cellStyle name="40% - Accent2 7 4" xfId="10032" xr:uid="{27327CCA-CE01-4FEC-92DC-79E6EA9870F0}"/>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62CFCBB4-F81D-49BC-98D9-8D1769CC6F4A}"/>
    <cellStyle name="40% - Accent2 8 2 3" xfId="12590" xr:uid="{3028A302-2BD9-4AD0-8D9C-08E17618B200}"/>
    <cellStyle name="40% - Accent2 8 3" xfId="6213" xr:uid="{00000000-0005-0000-0000-0000FD040000}"/>
    <cellStyle name="40% - Accent2 8 3 2" xfId="14663" xr:uid="{C9D08BD2-516E-424D-97EB-CDF6530EDEB5}"/>
    <cellStyle name="40% - Accent2 8 4" xfId="10445" xr:uid="{9C354D02-76B1-434D-9FE0-8519E37906D5}"/>
    <cellStyle name="40% - Accent2 9" xfId="2320" xr:uid="{00000000-0005-0000-0000-0000FE040000}"/>
    <cellStyle name="40% - Accent2 9 2" xfId="6626" xr:uid="{00000000-0005-0000-0000-0000FF040000}"/>
    <cellStyle name="40% - Accent2 9 2 2" xfId="15076" xr:uid="{ED714AEA-8518-4C62-8084-212C671D2B9F}"/>
    <cellStyle name="40% - Accent2 9 3" xfId="10858" xr:uid="{2B4386A6-EADA-4A08-8101-FDA6B0106D85}"/>
    <cellStyle name="40% - Accent3" xfId="65" builtinId="39" customBuiltin="1"/>
    <cellStyle name="40% - Accent3 10" xfId="4568" xr:uid="{00000000-0005-0000-0000-000001050000}"/>
    <cellStyle name="40% - Accent3 10 2" xfId="13018" xr:uid="{CDF1A03D-3C93-4AAA-B89A-2D5B2B034CED}"/>
    <cellStyle name="40% - Accent3 11" xfId="8800" xr:uid="{2316167B-229A-44D1-BA75-96A555EFD48A}"/>
    <cellStyle name="40% - Accent3 2" xfId="66" xr:uid="{00000000-0005-0000-0000-000002050000}"/>
    <cellStyle name="40% - Accent3 2 10" xfId="8801" xr:uid="{F499069F-0DFF-4965-98B7-8A668CEE8EAF}"/>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F0AF5344-E860-41A1-8E04-69E2FF8104C9}"/>
    <cellStyle name="40% - Accent3 2 2 2 2 2 3" xfId="11362" xr:uid="{465C053B-9F78-4E9F-A8FA-7D9F0DAC1AB2}"/>
    <cellStyle name="40% - Accent3 2 2 2 2 3" xfId="4985" xr:uid="{00000000-0005-0000-0000-000008050000}"/>
    <cellStyle name="40% - Accent3 2 2 2 2 3 2" xfId="13435" xr:uid="{6C65D160-7BF4-4EA7-B6D7-06D59002D6D7}"/>
    <cellStyle name="40% - Accent3 2 2 2 2 4" xfId="9217" xr:uid="{1E89C2C7-ACD3-4B9E-B28A-5281E5E264D3}"/>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FE483DE2-A44A-4B48-8DF1-5F7A6BDC3C10}"/>
    <cellStyle name="40% - Accent3 2 2 2 3 2 3" xfId="11775" xr:uid="{06803956-89B5-4649-A0E0-993D3E273B0A}"/>
    <cellStyle name="40% - Accent3 2 2 2 3 3" xfId="5398" xr:uid="{00000000-0005-0000-0000-00000C050000}"/>
    <cellStyle name="40% - Accent3 2 2 2 3 3 2" xfId="13848" xr:uid="{42414D7D-3C60-4EA6-8451-CB5B2F43BCE3}"/>
    <cellStyle name="40% - Accent3 2 2 2 3 4" xfId="9630" xr:uid="{0A87F760-7849-4BE2-B637-710A61ACC60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B7205B79-6A28-4B35-B655-915C1D4818D1}"/>
    <cellStyle name="40% - Accent3 2 2 2 4 2 3" xfId="12188" xr:uid="{E808D695-BFDF-49C5-818E-02FB37AD5C62}"/>
    <cellStyle name="40% - Accent3 2 2 2 4 3" xfId="5811" xr:uid="{00000000-0005-0000-0000-000010050000}"/>
    <cellStyle name="40% - Accent3 2 2 2 4 3 2" xfId="14261" xr:uid="{4D0BADEE-9395-4161-AEDB-391ECDF69203}"/>
    <cellStyle name="40% - Accent3 2 2 2 4 4" xfId="10043" xr:uid="{F181628F-C016-425A-B67C-A55DBD03FFE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E556E4AB-0BDB-47C7-B584-BD41B055C1A2}"/>
    <cellStyle name="40% - Accent3 2 2 2 5 2 3" xfId="12601" xr:uid="{30587C86-E480-483B-88B9-0EA0814DC395}"/>
    <cellStyle name="40% - Accent3 2 2 2 5 3" xfId="6224" xr:uid="{00000000-0005-0000-0000-000014050000}"/>
    <cellStyle name="40% - Accent3 2 2 2 5 3 2" xfId="14674" xr:uid="{8800B3EA-7F6E-4A95-A6B4-F82F12E6A0DB}"/>
    <cellStyle name="40% - Accent3 2 2 2 5 4" xfId="10456" xr:uid="{758A866B-46FB-4CA8-931F-E89B310AA9CF}"/>
    <cellStyle name="40% - Accent3 2 2 2 6" xfId="2331" xr:uid="{00000000-0005-0000-0000-000015050000}"/>
    <cellStyle name="40% - Accent3 2 2 2 6 2" xfId="6637" xr:uid="{00000000-0005-0000-0000-000016050000}"/>
    <cellStyle name="40% - Accent3 2 2 2 6 2 2" xfId="15087" xr:uid="{62760C81-7529-493F-849C-D46BE7E4B7D4}"/>
    <cellStyle name="40% - Accent3 2 2 2 6 3" xfId="10869" xr:uid="{9472DF46-AA7A-454C-A01B-44DC05E3D49D}"/>
    <cellStyle name="40% - Accent3 2 2 2 7" xfId="4571" xr:uid="{00000000-0005-0000-0000-000017050000}"/>
    <cellStyle name="40% - Accent3 2 2 2 7 2" xfId="13021" xr:uid="{4C0AB526-745F-42F4-9CF4-B00B6D737A96}"/>
    <cellStyle name="40% - Accent3 2 2 2 8" xfId="8803" xr:uid="{DFC16A1E-EB95-4BED-A286-F30017C5BBFB}"/>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82B5DB32-E3E7-462E-BF47-53FC047AE162}"/>
    <cellStyle name="40% - Accent3 2 2 3 2 3" xfId="11361" xr:uid="{81B2A6E1-41CE-4A2B-A336-B6F1A084B2FF}"/>
    <cellStyle name="40% - Accent3 2 2 3 3" xfId="4984" xr:uid="{00000000-0005-0000-0000-00001B050000}"/>
    <cellStyle name="40% - Accent3 2 2 3 3 2" xfId="13434" xr:uid="{DDFAF18A-4A63-4583-B5FF-1B605F747C25}"/>
    <cellStyle name="40% - Accent3 2 2 3 4" xfId="9216" xr:uid="{4B28C6E6-2573-4BA4-8838-DD0C2F41F7BA}"/>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3FA9B4DB-BC86-41A4-9B7D-8EA83ECEE651}"/>
    <cellStyle name="40% - Accent3 2 2 4 2 3" xfId="11774" xr:uid="{4BC62BDF-67DC-4368-9C03-81F90B8AD378}"/>
    <cellStyle name="40% - Accent3 2 2 4 3" xfId="5397" xr:uid="{00000000-0005-0000-0000-00001F050000}"/>
    <cellStyle name="40% - Accent3 2 2 4 3 2" xfId="13847" xr:uid="{4E4E8E40-5CAF-4267-8AD5-EB2F3A724298}"/>
    <cellStyle name="40% - Accent3 2 2 4 4" xfId="9629" xr:uid="{278A96F9-511C-4632-9C2F-645164A1F90F}"/>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F6B8DFB4-CE7F-4973-9B3F-59E2507B1867}"/>
    <cellStyle name="40% - Accent3 2 2 5 2 3" xfId="12187" xr:uid="{B83CBCB3-7FE3-4295-BB1E-77AA8522FAA9}"/>
    <cellStyle name="40% - Accent3 2 2 5 3" xfId="5810" xr:uid="{00000000-0005-0000-0000-000023050000}"/>
    <cellStyle name="40% - Accent3 2 2 5 3 2" xfId="14260" xr:uid="{EA1C3295-2B33-47B0-85B1-AD0484CA77CD}"/>
    <cellStyle name="40% - Accent3 2 2 5 4" xfId="10042" xr:uid="{972F1E90-2EE5-4563-8842-3D5EB5C04CE5}"/>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CF2D7F39-D4EB-48FA-A3A9-8FBA0539338C}"/>
    <cellStyle name="40% - Accent3 2 2 6 2 3" xfId="12600" xr:uid="{4A67730A-530C-48FA-9EBF-23332FA52C1A}"/>
    <cellStyle name="40% - Accent3 2 2 6 3" xfId="6223" xr:uid="{00000000-0005-0000-0000-000027050000}"/>
    <cellStyle name="40% - Accent3 2 2 6 3 2" xfId="14673" xr:uid="{E6AB4AF6-7A3D-4ADB-9D49-3F6FC276A1B8}"/>
    <cellStyle name="40% - Accent3 2 2 6 4" xfId="10455" xr:uid="{0EAE3D80-2B50-4188-9C0E-083149AD21F6}"/>
    <cellStyle name="40% - Accent3 2 2 7" xfId="2330" xr:uid="{00000000-0005-0000-0000-000028050000}"/>
    <cellStyle name="40% - Accent3 2 2 7 2" xfId="6636" xr:uid="{00000000-0005-0000-0000-000029050000}"/>
    <cellStyle name="40% - Accent3 2 2 7 2 2" xfId="15086" xr:uid="{A2ECEC90-2260-4B5E-A411-6CA8D1A6E4AF}"/>
    <cellStyle name="40% - Accent3 2 2 7 3" xfId="10868" xr:uid="{7853B087-361F-4C36-96BD-7D5B1E9D094D}"/>
    <cellStyle name="40% - Accent3 2 2 8" xfId="4570" xr:uid="{00000000-0005-0000-0000-00002A050000}"/>
    <cellStyle name="40% - Accent3 2 2 8 2" xfId="13020" xr:uid="{B9F2A654-01D4-4F56-B8F6-CC37280ED0F1}"/>
    <cellStyle name="40% - Accent3 2 2 9" xfId="8802" xr:uid="{37761E9A-2CC3-4E4D-9C0D-569FC3420045}"/>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C4C5038A-738E-4768-91B9-9D1967E0D765}"/>
    <cellStyle name="40% - Accent3 2 3 2 2 3" xfId="11363" xr:uid="{B8CA1109-E576-48DA-90DB-A96B9C8BC496}"/>
    <cellStyle name="40% - Accent3 2 3 2 3" xfId="4986" xr:uid="{00000000-0005-0000-0000-00002F050000}"/>
    <cellStyle name="40% - Accent3 2 3 2 3 2" xfId="13436" xr:uid="{30A19331-0D85-4232-A520-8CA26511C4A1}"/>
    <cellStyle name="40% - Accent3 2 3 2 4" xfId="9218" xr:uid="{C8C39342-6BFB-4BA2-BD47-A99EB9064F8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DE4B89AE-3BB8-4B99-A3AF-DC43A6AE31B3}"/>
    <cellStyle name="40% - Accent3 2 3 3 2 3" xfId="11776" xr:uid="{A01F0569-66A9-45C5-BDB3-8E1A81D37022}"/>
    <cellStyle name="40% - Accent3 2 3 3 3" xfId="5399" xr:uid="{00000000-0005-0000-0000-000033050000}"/>
    <cellStyle name="40% - Accent3 2 3 3 3 2" xfId="13849" xr:uid="{D8364438-12B0-4C8E-807D-D0DC74ED97B1}"/>
    <cellStyle name="40% - Accent3 2 3 3 4" xfId="9631" xr:uid="{E948AC44-AA54-40B8-A805-48D9B0B63825}"/>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F1BCA481-DC06-40BB-9F6A-DA7B20C6894E}"/>
    <cellStyle name="40% - Accent3 2 3 4 2 3" xfId="12189" xr:uid="{44D21F0A-EE3E-4A58-B9B9-5CC0171885B6}"/>
    <cellStyle name="40% - Accent3 2 3 4 3" xfId="5812" xr:uid="{00000000-0005-0000-0000-000037050000}"/>
    <cellStyle name="40% - Accent3 2 3 4 3 2" xfId="14262" xr:uid="{F9BA1C02-53DF-4D26-A2D1-D98EE21C1E43}"/>
    <cellStyle name="40% - Accent3 2 3 4 4" xfId="10044" xr:uid="{34121260-7F55-40E9-A02C-68490BB8D1D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5AF6E5CD-91C1-4445-A644-75D154700754}"/>
    <cellStyle name="40% - Accent3 2 3 5 2 3" xfId="12602" xr:uid="{E4CB7EB8-F754-47CE-81DE-5E1904D42F78}"/>
    <cellStyle name="40% - Accent3 2 3 5 3" xfId="6225" xr:uid="{00000000-0005-0000-0000-00003B050000}"/>
    <cellStyle name="40% - Accent3 2 3 5 3 2" xfId="14675" xr:uid="{E03B0E6E-F9A0-4EE4-8C0A-1F9CF39DF58A}"/>
    <cellStyle name="40% - Accent3 2 3 5 4" xfId="10457" xr:uid="{315C97F6-951F-4207-8EE2-39263D3C39B2}"/>
    <cellStyle name="40% - Accent3 2 3 6" xfId="2332" xr:uid="{00000000-0005-0000-0000-00003C050000}"/>
    <cellStyle name="40% - Accent3 2 3 6 2" xfId="6638" xr:uid="{00000000-0005-0000-0000-00003D050000}"/>
    <cellStyle name="40% - Accent3 2 3 6 2 2" xfId="15088" xr:uid="{377C0591-59C5-4EC8-A004-7E9CF8E54C1B}"/>
    <cellStyle name="40% - Accent3 2 3 6 3" xfId="10870" xr:uid="{84EB410E-D781-4C98-A3E5-EF450A5A53FA}"/>
    <cellStyle name="40% - Accent3 2 3 7" xfId="4572" xr:uid="{00000000-0005-0000-0000-00003E050000}"/>
    <cellStyle name="40% - Accent3 2 3 7 2" xfId="13022" xr:uid="{B6857151-2F80-45B5-B466-55A4D6A52C92}"/>
    <cellStyle name="40% - Accent3 2 3 8" xfId="8804" xr:uid="{CDD06D2A-BF1E-4992-8271-EB7916C5ECDB}"/>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092FF79A-07A9-440F-93EB-5E66E0448C4E}"/>
    <cellStyle name="40% - Accent3 2 4 2 3" xfId="11360" xr:uid="{D903410D-DBA8-4416-AE68-4909F30C92D1}"/>
    <cellStyle name="40% - Accent3 2 4 3" xfId="4983" xr:uid="{00000000-0005-0000-0000-000042050000}"/>
    <cellStyle name="40% - Accent3 2 4 3 2" xfId="13433" xr:uid="{D0869C2E-B121-4AF3-B8AE-F27044891D67}"/>
    <cellStyle name="40% - Accent3 2 4 4" xfId="9215" xr:uid="{43FF798F-F8E6-4CFE-9336-B0221D53A42D}"/>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69A027F8-03E0-4270-8D1B-91CBDA68D7BB}"/>
    <cellStyle name="40% - Accent3 2 5 2 3" xfId="11773" xr:uid="{50CE4E19-CFE7-4C64-A526-29EBCD61EAEC}"/>
    <cellStyle name="40% - Accent3 2 5 3" xfId="5396" xr:uid="{00000000-0005-0000-0000-000046050000}"/>
    <cellStyle name="40% - Accent3 2 5 3 2" xfId="13846" xr:uid="{44D0A5D9-71D6-45E3-AE08-ACA08FE04C01}"/>
    <cellStyle name="40% - Accent3 2 5 4" xfId="9628" xr:uid="{635059A7-819D-4EA0-BC2B-3CDA4599D122}"/>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2FD0E42E-4E41-4007-B7F6-57575BAA2AB2}"/>
    <cellStyle name="40% - Accent3 2 6 2 3" xfId="12186" xr:uid="{23E8162D-AA5F-43E9-B393-8581CDE74E48}"/>
    <cellStyle name="40% - Accent3 2 6 3" xfId="5809" xr:uid="{00000000-0005-0000-0000-00004A050000}"/>
    <cellStyle name="40% - Accent3 2 6 3 2" xfId="14259" xr:uid="{17D40667-3478-42CB-89BE-1929D8084E1C}"/>
    <cellStyle name="40% - Accent3 2 6 4" xfId="10041" xr:uid="{32DECE1B-9E06-4B3D-8108-58E77727C5D4}"/>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5E3E9358-5663-48A4-8207-B09E37F45119}"/>
    <cellStyle name="40% - Accent3 2 7 2 3" xfId="12599" xr:uid="{FF0AA3C0-7632-4A88-8157-6A0E95381E06}"/>
    <cellStyle name="40% - Accent3 2 7 3" xfId="6222" xr:uid="{00000000-0005-0000-0000-00004E050000}"/>
    <cellStyle name="40% - Accent3 2 7 3 2" xfId="14672" xr:uid="{ED3B9986-A1BE-485F-9177-AAEC879C20B8}"/>
    <cellStyle name="40% - Accent3 2 7 4" xfId="10454" xr:uid="{6CEB4FE1-785C-4E5F-AB5D-A1C2029F7D5B}"/>
    <cellStyle name="40% - Accent3 2 8" xfId="2329" xr:uid="{00000000-0005-0000-0000-00004F050000}"/>
    <cellStyle name="40% - Accent3 2 8 2" xfId="6635" xr:uid="{00000000-0005-0000-0000-000050050000}"/>
    <cellStyle name="40% - Accent3 2 8 2 2" xfId="15085" xr:uid="{54ABED6E-9742-481C-8AAD-F248F1AAD5E8}"/>
    <cellStyle name="40% - Accent3 2 8 3" xfId="10867" xr:uid="{95D766CF-B60D-4557-BA59-0B46ED04AD64}"/>
    <cellStyle name="40% - Accent3 2 9" xfId="4569" xr:uid="{00000000-0005-0000-0000-000051050000}"/>
    <cellStyle name="40% - Accent3 2 9 2" xfId="13019" xr:uid="{50C2A5EC-21E4-431B-B9C2-43B87E392CE8}"/>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16EC5E2F-718D-42F6-98DC-96D3E2BE7A09}"/>
    <cellStyle name="40% - Accent3 3 2 2 2 3" xfId="11365" xr:uid="{4E2D5940-D114-4B5E-ABCE-CDE4A3F7D3DB}"/>
    <cellStyle name="40% - Accent3 3 2 2 3" xfId="4988" xr:uid="{00000000-0005-0000-0000-000057050000}"/>
    <cellStyle name="40% - Accent3 3 2 2 3 2" xfId="13438" xr:uid="{0B1E6209-4C97-44F0-9C03-EF03666DF1AC}"/>
    <cellStyle name="40% - Accent3 3 2 2 4" xfId="9220" xr:uid="{028980BA-3CE7-4C98-8C6E-0DD09ACAB259}"/>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2163810D-35DA-423E-846C-C261CB2CEFCC}"/>
    <cellStyle name="40% - Accent3 3 2 3 2 3" xfId="11778" xr:uid="{F84655FA-9529-4AC0-9FFA-3D15A9E45955}"/>
    <cellStyle name="40% - Accent3 3 2 3 3" xfId="5401" xr:uid="{00000000-0005-0000-0000-00005B050000}"/>
    <cellStyle name="40% - Accent3 3 2 3 3 2" xfId="13851" xr:uid="{593EB62E-28A9-4AEB-B041-142E8479A6B7}"/>
    <cellStyle name="40% - Accent3 3 2 3 4" xfId="9633" xr:uid="{58BE2F0E-599E-46AB-8B28-40702C412CBA}"/>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3F06D06-C228-4C39-8D6B-3E5854380107}"/>
    <cellStyle name="40% - Accent3 3 2 4 2 3" xfId="12191" xr:uid="{9A010196-495F-43C3-8C5C-2F3752B7E532}"/>
    <cellStyle name="40% - Accent3 3 2 4 3" xfId="5814" xr:uid="{00000000-0005-0000-0000-00005F050000}"/>
    <cellStyle name="40% - Accent3 3 2 4 3 2" xfId="14264" xr:uid="{DB8E27B5-2973-492C-AB34-12B8BFB1808A}"/>
    <cellStyle name="40% - Accent3 3 2 4 4" xfId="10046" xr:uid="{A2B123B0-5B78-4C23-9D70-93555E156E9F}"/>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7D34A912-C5F7-4C4D-93D5-9DBBBFED5BA0}"/>
    <cellStyle name="40% - Accent3 3 2 5 2 3" xfId="12604" xr:uid="{20F9D9D1-6B4B-4721-8455-E483AC45F0D2}"/>
    <cellStyle name="40% - Accent3 3 2 5 3" xfId="6227" xr:uid="{00000000-0005-0000-0000-000063050000}"/>
    <cellStyle name="40% - Accent3 3 2 5 3 2" xfId="14677" xr:uid="{F8CDFD8E-3F33-47F5-8DD5-E20AE1CD3C3D}"/>
    <cellStyle name="40% - Accent3 3 2 5 4" xfId="10459" xr:uid="{B02E1AAC-1A87-4076-BA00-E2E45EDB0F7C}"/>
    <cellStyle name="40% - Accent3 3 2 6" xfId="2334" xr:uid="{00000000-0005-0000-0000-000064050000}"/>
    <cellStyle name="40% - Accent3 3 2 6 2" xfId="6640" xr:uid="{00000000-0005-0000-0000-000065050000}"/>
    <cellStyle name="40% - Accent3 3 2 6 2 2" xfId="15090" xr:uid="{E5617E28-B02B-427D-806B-2278B25B1EA1}"/>
    <cellStyle name="40% - Accent3 3 2 6 3" xfId="10872" xr:uid="{9C4150DE-3488-437B-BB3E-82F24BE91D5B}"/>
    <cellStyle name="40% - Accent3 3 2 7" xfId="4574" xr:uid="{00000000-0005-0000-0000-000066050000}"/>
    <cellStyle name="40% - Accent3 3 2 7 2" xfId="13024" xr:uid="{CEA3651F-013C-44B0-A876-56C3E2FC6D89}"/>
    <cellStyle name="40% - Accent3 3 2 8" xfId="8806" xr:uid="{C4CAF759-8C06-46FE-A608-0988DE3ECBB1}"/>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F94DC396-B538-44E8-AB34-BC90A12B0403}"/>
    <cellStyle name="40% - Accent3 3 3 2 3" xfId="11364" xr:uid="{D4E72459-F9BA-404F-9501-C0100C653FF5}"/>
    <cellStyle name="40% - Accent3 3 3 3" xfId="4987" xr:uid="{00000000-0005-0000-0000-00006A050000}"/>
    <cellStyle name="40% - Accent3 3 3 3 2" xfId="13437" xr:uid="{B98899AB-B378-4BFE-8107-BD14E72D8199}"/>
    <cellStyle name="40% - Accent3 3 3 4" xfId="9219" xr:uid="{4783A7F9-1D33-477B-96C0-097574155DB6}"/>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0562AF0F-7CC0-444E-920A-6E7AEFFA8FBD}"/>
    <cellStyle name="40% - Accent3 3 4 2 3" xfId="11777" xr:uid="{87B62CF4-6E4B-48E9-9F2D-223BDE7204FE}"/>
    <cellStyle name="40% - Accent3 3 4 3" xfId="5400" xr:uid="{00000000-0005-0000-0000-00006E050000}"/>
    <cellStyle name="40% - Accent3 3 4 3 2" xfId="13850" xr:uid="{560641C7-DF38-43F1-A811-034A2072F155}"/>
    <cellStyle name="40% - Accent3 3 4 4" xfId="9632" xr:uid="{9AE62985-78B6-4E71-BB96-E41610875C6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ECB51785-79BF-4C7C-BCD7-1E312E593A81}"/>
    <cellStyle name="40% - Accent3 3 5 2 3" xfId="12190" xr:uid="{19E8683E-98CD-43EB-B716-EF2391A10526}"/>
    <cellStyle name="40% - Accent3 3 5 3" xfId="5813" xr:uid="{00000000-0005-0000-0000-000072050000}"/>
    <cellStyle name="40% - Accent3 3 5 3 2" xfId="14263" xr:uid="{225BF5C9-074B-41AA-B53B-5D44AB41CA1C}"/>
    <cellStyle name="40% - Accent3 3 5 4" xfId="10045" xr:uid="{C08D9661-35DC-4B8D-9C0D-1FD501B407AB}"/>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A526A01D-D0AB-49E0-BA70-6E539BDDF4A5}"/>
    <cellStyle name="40% - Accent3 3 6 2 3" xfId="12603" xr:uid="{51C89B6D-FC8F-4EB6-ADA0-D35291405A7C}"/>
    <cellStyle name="40% - Accent3 3 6 3" xfId="6226" xr:uid="{00000000-0005-0000-0000-000076050000}"/>
    <cellStyle name="40% - Accent3 3 6 3 2" xfId="14676" xr:uid="{36DEFA2C-2EDE-4355-AC9B-83FF7F897C9F}"/>
    <cellStyle name="40% - Accent3 3 6 4" xfId="10458" xr:uid="{B6F4513B-EF37-48C0-AECC-485C1740F60F}"/>
    <cellStyle name="40% - Accent3 3 7" xfId="2333" xr:uid="{00000000-0005-0000-0000-000077050000}"/>
    <cellStyle name="40% - Accent3 3 7 2" xfId="6639" xr:uid="{00000000-0005-0000-0000-000078050000}"/>
    <cellStyle name="40% - Accent3 3 7 2 2" xfId="15089" xr:uid="{E48C5C22-6717-4782-81A2-28AF7D5982C2}"/>
    <cellStyle name="40% - Accent3 3 7 3" xfId="10871" xr:uid="{B3A9D298-2ADD-4DF4-910D-7010DED0B148}"/>
    <cellStyle name="40% - Accent3 3 8" xfId="4573" xr:uid="{00000000-0005-0000-0000-000079050000}"/>
    <cellStyle name="40% - Accent3 3 8 2" xfId="13023" xr:uid="{A7F17323-28E3-4685-9545-8D9D9C38139A}"/>
    <cellStyle name="40% - Accent3 3 9" xfId="8805" xr:uid="{7A75DE2E-F413-45C0-971D-8B85FC8BC4CB}"/>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A2C5611D-EC5B-49D5-A2A0-3609014A257D}"/>
    <cellStyle name="40% - Accent3 4 2 2 3" xfId="11366" xr:uid="{ED58CA32-5F95-4264-A7F1-052AFA5E0A73}"/>
    <cellStyle name="40% - Accent3 4 2 3" xfId="4989" xr:uid="{00000000-0005-0000-0000-00007E050000}"/>
    <cellStyle name="40% - Accent3 4 2 3 2" xfId="13439" xr:uid="{CC0AA0AA-0B5F-4569-B3CB-73B5E07222FB}"/>
    <cellStyle name="40% - Accent3 4 2 4" xfId="9221" xr:uid="{ADF131C5-53B8-40F6-BE6E-D0DE790B01EE}"/>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A176E251-84D0-4A15-BD55-7DD7CC69116E}"/>
    <cellStyle name="40% - Accent3 4 3 2 3" xfId="11779" xr:uid="{74047254-BAB8-42D5-A3C5-273F73AD4A98}"/>
    <cellStyle name="40% - Accent3 4 3 3" xfId="5402" xr:uid="{00000000-0005-0000-0000-000082050000}"/>
    <cellStyle name="40% - Accent3 4 3 3 2" xfId="13852" xr:uid="{D57CFB41-AA26-404E-BA96-26506B0A454E}"/>
    <cellStyle name="40% - Accent3 4 3 4" xfId="9634" xr:uid="{2A67F09A-CADE-459A-B5A6-72BEF4919499}"/>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CDA06B2F-5360-4DA8-8C5B-D97059F4894C}"/>
    <cellStyle name="40% - Accent3 4 4 2 3" xfId="12192" xr:uid="{1294B1F9-B6EB-4E23-973F-3ACE33BD1471}"/>
    <cellStyle name="40% - Accent3 4 4 3" xfId="5815" xr:uid="{00000000-0005-0000-0000-000086050000}"/>
    <cellStyle name="40% - Accent3 4 4 3 2" xfId="14265" xr:uid="{EE8C058D-3BBD-4BD0-B733-849AEB96B4E8}"/>
    <cellStyle name="40% - Accent3 4 4 4" xfId="10047" xr:uid="{25F3E1A4-9D0F-4432-BCDA-C80E7F923E5B}"/>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9EE4510A-7138-482E-AABE-773234452E46}"/>
    <cellStyle name="40% - Accent3 4 5 2 3" xfId="12605" xr:uid="{6F6ED27E-850A-4CB1-A47E-CB0AD8A1CD07}"/>
    <cellStyle name="40% - Accent3 4 5 3" xfId="6228" xr:uid="{00000000-0005-0000-0000-00008A050000}"/>
    <cellStyle name="40% - Accent3 4 5 3 2" xfId="14678" xr:uid="{E1A37FE8-FD61-47DC-B330-4B139C30B1C9}"/>
    <cellStyle name="40% - Accent3 4 5 4" xfId="10460" xr:uid="{F23F10D5-DA47-4966-9CAD-502CE94A7E48}"/>
    <cellStyle name="40% - Accent3 4 6" xfId="2335" xr:uid="{00000000-0005-0000-0000-00008B050000}"/>
    <cellStyle name="40% - Accent3 4 6 2" xfId="6641" xr:uid="{00000000-0005-0000-0000-00008C050000}"/>
    <cellStyle name="40% - Accent3 4 6 2 2" xfId="15091" xr:uid="{C20316D0-C527-463C-BEA3-7459BA8CD4F7}"/>
    <cellStyle name="40% - Accent3 4 6 3" xfId="10873" xr:uid="{C0B77795-6C0E-4AD4-A3D4-6080921BBAC8}"/>
    <cellStyle name="40% - Accent3 4 7" xfId="4575" xr:uid="{00000000-0005-0000-0000-00008D050000}"/>
    <cellStyle name="40% - Accent3 4 7 2" xfId="13025" xr:uid="{7E075711-0173-49C4-9490-C9CD4FF4F855}"/>
    <cellStyle name="40% - Accent3 4 8" xfId="8807" xr:uid="{11B9C74C-37E6-43CE-A13F-D1F96919690B}"/>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271681EF-23B2-4858-8518-96AAA420DC72}"/>
    <cellStyle name="40% - Accent3 5 2 3" xfId="11359" xr:uid="{DB3E8BB4-4664-4F4D-AE5C-200AD35A443B}"/>
    <cellStyle name="40% - Accent3 5 3" xfId="4982" xr:uid="{00000000-0005-0000-0000-000091050000}"/>
    <cellStyle name="40% - Accent3 5 3 2" xfId="13432" xr:uid="{13A854F4-3657-4154-8DF9-2EBDB33A9C1F}"/>
    <cellStyle name="40% - Accent3 5 4" xfId="9214" xr:uid="{876E9821-F36B-461A-A9BD-CE6B74AA1458}"/>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1AF65802-A26C-4261-97EF-3E24497DA318}"/>
    <cellStyle name="40% - Accent3 6 2 3" xfId="11772" xr:uid="{44186549-0811-47D6-883B-FFF06187F9BB}"/>
    <cellStyle name="40% - Accent3 6 3" xfId="5395" xr:uid="{00000000-0005-0000-0000-000095050000}"/>
    <cellStyle name="40% - Accent3 6 3 2" xfId="13845" xr:uid="{6D175175-5FF9-45F4-9573-5BB71A77304D}"/>
    <cellStyle name="40% - Accent3 6 4" xfId="9627" xr:uid="{1C568816-6203-4D15-AE41-699906C812AE}"/>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97FB0DDA-7033-4D81-BF21-1399FEAC357D}"/>
    <cellStyle name="40% - Accent3 7 2 3" xfId="12185" xr:uid="{435969B3-6B42-450A-8730-A23A4D58C5C4}"/>
    <cellStyle name="40% - Accent3 7 3" xfId="5808" xr:uid="{00000000-0005-0000-0000-000099050000}"/>
    <cellStyle name="40% - Accent3 7 3 2" xfId="14258" xr:uid="{7356492D-D996-4693-B219-EC5FCCBACE08}"/>
    <cellStyle name="40% - Accent3 7 4" xfId="10040" xr:uid="{D55C1629-1AE9-42CF-BCE2-469C6AAAC240}"/>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D0B8EC06-7F1B-4EB7-99A7-CA7C6DED58E7}"/>
    <cellStyle name="40% - Accent3 8 2 3" xfId="12598" xr:uid="{39B03CCB-E3D5-4FA3-BAA0-DC3BD4AC6C3C}"/>
    <cellStyle name="40% - Accent3 8 3" xfId="6221" xr:uid="{00000000-0005-0000-0000-00009D050000}"/>
    <cellStyle name="40% - Accent3 8 3 2" xfId="14671" xr:uid="{74F689CB-DC7F-49FE-B32A-A050F93DB89E}"/>
    <cellStyle name="40% - Accent3 8 4" xfId="10453" xr:uid="{4417E2D4-3A2C-4702-8BB9-8EBD6E19BF58}"/>
    <cellStyle name="40% - Accent3 9" xfId="2328" xr:uid="{00000000-0005-0000-0000-00009E050000}"/>
    <cellStyle name="40% - Accent3 9 2" xfId="6634" xr:uid="{00000000-0005-0000-0000-00009F050000}"/>
    <cellStyle name="40% - Accent3 9 2 2" xfId="15084" xr:uid="{58AB7A3D-99EA-4B2A-84D3-EE9D7E49B2D5}"/>
    <cellStyle name="40% - Accent3 9 3" xfId="10866" xr:uid="{AB99DBD5-C5E2-4068-9B82-45ABF746D77F}"/>
    <cellStyle name="40% - Accent4" xfId="73" builtinId="43" customBuiltin="1"/>
    <cellStyle name="40% - Accent4 10" xfId="4576" xr:uid="{00000000-0005-0000-0000-0000A1050000}"/>
    <cellStyle name="40% - Accent4 10 2" xfId="13026" xr:uid="{BCE3C699-8408-4D6E-91A9-5A06C517D701}"/>
    <cellStyle name="40% - Accent4 11" xfId="8808" xr:uid="{2D718A61-2B81-4B3E-AC98-021A3658A02B}"/>
    <cellStyle name="40% - Accent4 2" xfId="74" xr:uid="{00000000-0005-0000-0000-0000A2050000}"/>
    <cellStyle name="40% - Accent4 2 10" xfId="8809" xr:uid="{EBEB356E-E2E4-4CCF-952C-C1332F9B8155}"/>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2A209957-0ED1-4AE4-B4E5-9FD2392E25E7}"/>
    <cellStyle name="40% - Accent4 2 2 2 2 2 3" xfId="11370" xr:uid="{E0F7A890-186C-4181-82C8-7966D324508E}"/>
    <cellStyle name="40% - Accent4 2 2 2 2 3" xfId="4993" xr:uid="{00000000-0005-0000-0000-0000A8050000}"/>
    <cellStyle name="40% - Accent4 2 2 2 2 3 2" xfId="13443" xr:uid="{DC8CCD3A-421E-4A7C-AB96-D16D82E8DD75}"/>
    <cellStyle name="40% - Accent4 2 2 2 2 4" xfId="9225" xr:uid="{69D0677A-07DD-4240-96F8-FC661247073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4DF4047A-6C6F-45AE-87EF-31066FF20A26}"/>
    <cellStyle name="40% - Accent4 2 2 2 3 2 3" xfId="11783" xr:uid="{D8943032-A125-4101-8621-C25CF3CEEBD4}"/>
    <cellStyle name="40% - Accent4 2 2 2 3 3" xfId="5406" xr:uid="{00000000-0005-0000-0000-0000AC050000}"/>
    <cellStyle name="40% - Accent4 2 2 2 3 3 2" xfId="13856" xr:uid="{87960B8C-4695-418D-B426-E1E31DAD9988}"/>
    <cellStyle name="40% - Accent4 2 2 2 3 4" xfId="9638" xr:uid="{CB53D862-7788-435C-A4E4-785DAAB6C253}"/>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3661FC3B-35D4-4470-8E2C-B355AD1FACF9}"/>
    <cellStyle name="40% - Accent4 2 2 2 4 2 3" xfId="12196" xr:uid="{7FF4FCBC-3A62-423D-97D9-C69024BC2468}"/>
    <cellStyle name="40% - Accent4 2 2 2 4 3" xfId="5819" xr:uid="{00000000-0005-0000-0000-0000B0050000}"/>
    <cellStyle name="40% - Accent4 2 2 2 4 3 2" xfId="14269" xr:uid="{C6175032-5BD1-4010-807E-4B3899944A96}"/>
    <cellStyle name="40% - Accent4 2 2 2 4 4" xfId="10051" xr:uid="{69BBE5B6-C3D3-4A8B-AA51-1AA6D7A74F6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908201CD-0648-43C5-AEA2-A240FAE69782}"/>
    <cellStyle name="40% - Accent4 2 2 2 5 2 3" xfId="12609" xr:uid="{2B34E07F-B1F6-40ED-A93F-9F1337FE0BEC}"/>
    <cellStyle name="40% - Accent4 2 2 2 5 3" xfId="6232" xr:uid="{00000000-0005-0000-0000-0000B4050000}"/>
    <cellStyle name="40% - Accent4 2 2 2 5 3 2" xfId="14682" xr:uid="{5D2AB0B2-D699-434C-9B20-15156A96EBB1}"/>
    <cellStyle name="40% - Accent4 2 2 2 5 4" xfId="10464" xr:uid="{E7C85A71-CCA7-471B-8E19-ED2FA18F1ADF}"/>
    <cellStyle name="40% - Accent4 2 2 2 6" xfId="2339" xr:uid="{00000000-0005-0000-0000-0000B5050000}"/>
    <cellStyle name="40% - Accent4 2 2 2 6 2" xfId="6645" xr:uid="{00000000-0005-0000-0000-0000B6050000}"/>
    <cellStyle name="40% - Accent4 2 2 2 6 2 2" xfId="15095" xr:uid="{59166C25-A176-47C3-9E2D-947F6B35671E}"/>
    <cellStyle name="40% - Accent4 2 2 2 6 3" xfId="10877" xr:uid="{AA232403-7C4A-4A24-A61B-575A5698B304}"/>
    <cellStyle name="40% - Accent4 2 2 2 7" xfId="4579" xr:uid="{00000000-0005-0000-0000-0000B7050000}"/>
    <cellStyle name="40% - Accent4 2 2 2 7 2" xfId="13029" xr:uid="{D667C86F-43A4-44C1-9C15-EA63E95183F0}"/>
    <cellStyle name="40% - Accent4 2 2 2 8" xfId="8811" xr:uid="{045BCD06-D478-44A3-B5EF-9D48D22AFD21}"/>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D0B52698-CC93-4AC5-B49F-7A43C11C5F7D}"/>
    <cellStyle name="40% - Accent4 2 2 3 2 3" xfId="11369" xr:uid="{5DA78362-96F5-4ED5-AD23-AA8BDB10CD03}"/>
    <cellStyle name="40% - Accent4 2 2 3 3" xfId="4992" xr:uid="{00000000-0005-0000-0000-0000BB050000}"/>
    <cellStyle name="40% - Accent4 2 2 3 3 2" xfId="13442" xr:uid="{510AA893-F3E6-4AC5-95CA-89DED5DD602D}"/>
    <cellStyle name="40% - Accent4 2 2 3 4" xfId="9224" xr:uid="{9AE6AFBF-9557-45C3-A966-A407223F22D4}"/>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5CC963D8-F812-4AFD-9DD3-CBC328FC48F6}"/>
    <cellStyle name="40% - Accent4 2 2 4 2 3" xfId="11782" xr:uid="{2E6E6268-F048-4D54-8E08-689E69679709}"/>
    <cellStyle name="40% - Accent4 2 2 4 3" xfId="5405" xr:uid="{00000000-0005-0000-0000-0000BF050000}"/>
    <cellStyle name="40% - Accent4 2 2 4 3 2" xfId="13855" xr:uid="{557C2D7E-1CAA-478A-A0DE-1A0641F99C30}"/>
    <cellStyle name="40% - Accent4 2 2 4 4" xfId="9637" xr:uid="{D3C0F321-A297-40FA-996C-235B65127A7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CB2D22AA-DAB5-4C6D-95B0-B7C2B20D914C}"/>
    <cellStyle name="40% - Accent4 2 2 5 2 3" xfId="12195" xr:uid="{E64BD9C7-00E3-43DC-B243-E25D4CD955F4}"/>
    <cellStyle name="40% - Accent4 2 2 5 3" xfId="5818" xr:uid="{00000000-0005-0000-0000-0000C3050000}"/>
    <cellStyle name="40% - Accent4 2 2 5 3 2" xfId="14268" xr:uid="{DC58C63A-0215-439E-9472-E042EDF90732}"/>
    <cellStyle name="40% - Accent4 2 2 5 4" xfId="10050" xr:uid="{15F676CD-FD77-43D2-B9E2-4066AF4AE8B1}"/>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E1AD51BC-EA11-43A4-9A46-1E7F2181AEC9}"/>
    <cellStyle name="40% - Accent4 2 2 6 2 3" xfId="12608" xr:uid="{71E5D453-B3B7-4EDC-AB43-CC4FB4C9FAD6}"/>
    <cellStyle name="40% - Accent4 2 2 6 3" xfId="6231" xr:uid="{00000000-0005-0000-0000-0000C7050000}"/>
    <cellStyle name="40% - Accent4 2 2 6 3 2" xfId="14681" xr:uid="{EE0B576C-C5A7-4669-A2F9-ED3940A37A6E}"/>
    <cellStyle name="40% - Accent4 2 2 6 4" xfId="10463" xr:uid="{319A0D6C-8D5B-4CB5-91F0-6809A2A2C65C}"/>
    <cellStyle name="40% - Accent4 2 2 7" xfId="2338" xr:uid="{00000000-0005-0000-0000-0000C8050000}"/>
    <cellStyle name="40% - Accent4 2 2 7 2" xfId="6644" xr:uid="{00000000-0005-0000-0000-0000C9050000}"/>
    <cellStyle name="40% - Accent4 2 2 7 2 2" xfId="15094" xr:uid="{FE634DD5-4570-49A2-B9C8-66E1D2977164}"/>
    <cellStyle name="40% - Accent4 2 2 7 3" xfId="10876" xr:uid="{FB42B074-12E5-48C5-BE6E-081727133766}"/>
    <cellStyle name="40% - Accent4 2 2 8" xfId="4578" xr:uid="{00000000-0005-0000-0000-0000CA050000}"/>
    <cellStyle name="40% - Accent4 2 2 8 2" xfId="13028" xr:uid="{003F9503-637B-46FE-B9A1-37D5FBD8E2C3}"/>
    <cellStyle name="40% - Accent4 2 2 9" xfId="8810" xr:uid="{BD749DB0-97DC-4D97-85F2-7FA2B7503C45}"/>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8723D173-4BC4-4084-B41E-B316C9D3778A}"/>
    <cellStyle name="40% - Accent4 2 3 2 2 3" xfId="11371" xr:uid="{B852A264-DBE1-4938-92D3-8644DDE53EA2}"/>
    <cellStyle name="40% - Accent4 2 3 2 3" xfId="4994" xr:uid="{00000000-0005-0000-0000-0000CF050000}"/>
    <cellStyle name="40% - Accent4 2 3 2 3 2" xfId="13444" xr:uid="{99154CD4-D9B6-4A34-8D30-E99A7C6A04C0}"/>
    <cellStyle name="40% - Accent4 2 3 2 4" xfId="9226" xr:uid="{C01603B2-801E-4993-A071-CF3A977F9EA7}"/>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F1F58CEE-FF55-464A-B33F-7D083B794A2C}"/>
    <cellStyle name="40% - Accent4 2 3 3 2 3" xfId="11784" xr:uid="{B371051E-2FF8-4249-9C07-5A643147715D}"/>
    <cellStyle name="40% - Accent4 2 3 3 3" xfId="5407" xr:uid="{00000000-0005-0000-0000-0000D3050000}"/>
    <cellStyle name="40% - Accent4 2 3 3 3 2" xfId="13857" xr:uid="{F516F265-2336-4645-B06E-C36F627D26C2}"/>
    <cellStyle name="40% - Accent4 2 3 3 4" xfId="9639" xr:uid="{6C2C9811-7128-493F-A4E7-59CD1569A6A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53D89C9A-F8F1-4EBA-A3BD-539094C1CA50}"/>
    <cellStyle name="40% - Accent4 2 3 4 2 3" xfId="12197" xr:uid="{E55D6EAB-DA60-4E27-8884-294E3D483B41}"/>
    <cellStyle name="40% - Accent4 2 3 4 3" xfId="5820" xr:uid="{00000000-0005-0000-0000-0000D7050000}"/>
    <cellStyle name="40% - Accent4 2 3 4 3 2" xfId="14270" xr:uid="{F56D1FAB-C3F3-4DAE-92D6-684217962AB0}"/>
    <cellStyle name="40% - Accent4 2 3 4 4" xfId="10052" xr:uid="{95BBB043-9014-457D-8A79-9B29EDDAD6A5}"/>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53465479-FE98-4E0D-AF5D-D0F56D40BCA5}"/>
    <cellStyle name="40% - Accent4 2 3 5 2 3" xfId="12610" xr:uid="{CE02F6A8-33B4-424E-903B-807D3BFF1E21}"/>
    <cellStyle name="40% - Accent4 2 3 5 3" xfId="6233" xr:uid="{00000000-0005-0000-0000-0000DB050000}"/>
    <cellStyle name="40% - Accent4 2 3 5 3 2" xfId="14683" xr:uid="{2A7DA625-ACE3-49DC-AAC0-70952E6854CB}"/>
    <cellStyle name="40% - Accent4 2 3 5 4" xfId="10465" xr:uid="{F2B0531E-9845-45F5-B013-317CB1772858}"/>
    <cellStyle name="40% - Accent4 2 3 6" xfId="2340" xr:uid="{00000000-0005-0000-0000-0000DC050000}"/>
    <cellStyle name="40% - Accent4 2 3 6 2" xfId="6646" xr:uid="{00000000-0005-0000-0000-0000DD050000}"/>
    <cellStyle name="40% - Accent4 2 3 6 2 2" xfId="15096" xr:uid="{2A0311E2-4309-4DBF-BD4F-50126F4814A7}"/>
    <cellStyle name="40% - Accent4 2 3 6 3" xfId="10878" xr:uid="{8CFF85E9-9357-4EDE-AE3A-4CCEF4531895}"/>
    <cellStyle name="40% - Accent4 2 3 7" xfId="4580" xr:uid="{00000000-0005-0000-0000-0000DE050000}"/>
    <cellStyle name="40% - Accent4 2 3 7 2" xfId="13030" xr:uid="{57BF86CA-7300-4AFF-B46F-3828A1710B9E}"/>
    <cellStyle name="40% - Accent4 2 3 8" xfId="8812" xr:uid="{6618800C-2FAB-4333-BB49-08D902889052}"/>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7F03D24D-7DA8-40BB-92C8-E7C987E59076}"/>
    <cellStyle name="40% - Accent4 2 4 2 3" xfId="11368" xr:uid="{AD69869A-2262-4914-8DCF-7224BA49BE9B}"/>
    <cellStyle name="40% - Accent4 2 4 3" xfId="4991" xr:uid="{00000000-0005-0000-0000-0000E2050000}"/>
    <cellStyle name="40% - Accent4 2 4 3 2" xfId="13441" xr:uid="{92F19CDD-ACBF-4DB6-AD79-035BDF09536A}"/>
    <cellStyle name="40% - Accent4 2 4 4" xfId="9223" xr:uid="{9FA355A3-29DB-4023-B37F-6678C9225111}"/>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9207DEE5-71D2-4F49-B66D-DBD81D75D598}"/>
    <cellStyle name="40% - Accent4 2 5 2 3" xfId="11781" xr:uid="{D158FCD4-8340-4454-ADC1-499E395AB075}"/>
    <cellStyle name="40% - Accent4 2 5 3" xfId="5404" xr:uid="{00000000-0005-0000-0000-0000E6050000}"/>
    <cellStyle name="40% - Accent4 2 5 3 2" xfId="13854" xr:uid="{192D2699-68BD-4F04-B709-9C6D8688C849}"/>
    <cellStyle name="40% - Accent4 2 5 4" xfId="9636" xr:uid="{38A9DF6D-FF3C-4A01-9058-027220C8A1D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57ECB61F-9261-4D51-9E29-143129109250}"/>
    <cellStyle name="40% - Accent4 2 6 2 3" xfId="12194" xr:uid="{436D579B-A3E6-4041-BD95-593BDBAF964C}"/>
    <cellStyle name="40% - Accent4 2 6 3" xfId="5817" xr:uid="{00000000-0005-0000-0000-0000EA050000}"/>
    <cellStyle name="40% - Accent4 2 6 3 2" xfId="14267" xr:uid="{20583CE5-58C5-47C6-B663-751C7A1778BC}"/>
    <cellStyle name="40% - Accent4 2 6 4" xfId="10049" xr:uid="{72F9B394-077C-4BEB-A1BE-AEA653E10C9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1A8B9EFB-6C69-4B39-98A6-6197B4D8DC82}"/>
    <cellStyle name="40% - Accent4 2 7 2 3" xfId="12607" xr:uid="{A2F2C43A-2559-481E-91BE-5CFA783A3E8B}"/>
    <cellStyle name="40% - Accent4 2 7 3" xfId="6230" xr:uid="{00000000-0005-0000-0000-0000EE050000}"/>
    <cellStyle name="40% - Accent4 2 7 3 2" xfId="14680" xr:uid="{49F08DF9-3E6C-46C5-963C-F7DAEC95241B}"/>
    <cellStyle name="40% - Accent4 2 7 4" xfId="10462" xr:uid="{83EA43A1-CA46-4796-9134-53610BD5D056}"/>
    <cellStyle name="40% - Accent4 2 8" xfId="2337" xr:uid="{00000000-0005-0000-0000-0000EF050000}"/>
    <cellStyle name="40% - Accent4 2 8 2" xfId="6643" xr:uid="{00000000-0005-0000-0000-0000F0050000}"/>
    <cellStyle name="40% - Accent4 2 8 2 2" xfId="15093" xr:uid="{639806CE-CBF6-4D43-A5F6-D01B9A0011C7}"/>
    <cellStyle name="40% - Accent4 2 8 3" xfId="10875" xr:uid="{C62E3255-3324-4117-8592-C8E8F4DE0F9D}"/>
    <cellStyle name="40% - Accent4 2 9" xfId="4577" xr:uid="{00000000-0005-0000-0000-0000F1050000}"/>
    <cellStyle name="40% - Accent4 2 9 2" xfId="13027" xr:uid="{6FF54009-68B3-43E1-8348-55AE7D420351}"/>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FBA88C81-3305-4EE1-8C0D-591FCED48E60}"/>
    <cellStyle name="40% - Accent4 3 2 2 2 3" xfId="11373" xr:uid="{5884BBE3-A9F2-4AE4-95EA-0546F5198F14}"/>
    <cellStyle name="40% - Accent4 3 2 2 3" xfId="4996" xr:uid="{00000000-0005-0000-0000-0000F7050000}"/>
    <cellStyle name="40% - Accent4 3 2 2 3 2" xfId="13446" xr:uid="{021572F2-6183-40EC-A268-C7AD1F57440B}"/>
    <cellStyle name="40% - Accent4 3 2 2 4" xfId="9228" xr:uid="{D3E53007-3EE3-4F6C-B1F4-53CCA37941B4}"/>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5415E264-6DCA-41DC-9D0B-015A88641FCC}"/>
    <cellStyle name="40% - Accent4 3 2 3 2 3" xfId="11786" xr:uid="{59648B16-0D07-46F1-A994-60740050F1C8}"/>
    <cellStyle name="40% - Accent4 3 2 3 3" xfId="5409" xr:uid="{00000000-0005-0000-0000-0000FB050000}"/>
    <cellStyle name="40% - Accent4 3 2 3 3 2" xfId="13859" xr:uid="{E53366C6-3153-41CC-8077-D57C347769D8}"/>
    <cellStyle name="40% - Accent4 3 2 3 4" xfId="9641" xr:uid="{9A953447-84D5-46D2-950F-0948B740501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B7EE9509-9F60-4E56-8446-DEC3611318DD}"/>
    <cellStyle name="40% - Accent4 3 2 4 2 3" xfId="12199" xr:uid="{F27EF079-FF75-4AF1-9A78-179E27FE0813}"/>
    <cellStyle name="40% - Accent4 3 2 4 3" xfId="5822" xr:uid="{00000000-0005-0000-0000-0000FF050000}"/>
    <cellStyle name="40% - Accent4 3 2 4 3 2" xfId="14272" xr:uid="{9A3E6DC4-3637-44D2-A91B-5AB8277968AE}"/>
    <cellStyle name="40% - Accent4 3 2 4 4" xfId="10054" xr:uid="{706C42A5-8CF4-4639-B94D-82C826AA4FF6}"/>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3CCD7BE2-F23F-4170-8244-F5C4435E7D69}"/>
    <cellStyle name="40% - Accent4 3 2 5 2 3" xfId="12612" xr:uid="{A448F485-48BF-4A89-AA8B-302DA3B03701}"/>
    <cellStyle name="40% - Accent4 3 2 5 3" xfId="6235" xr:uid="{00000000-0005-0000-0000-000003060000}"/>
    <cellStyle name="40% - Accent4 3 2 5 3 2" xfId="14685" xr:uid="{A259B3D2-35C2-424F-92CA-A1DE8944412C}"/>
    <cellStyle name="40% - Accent4 3 2 5 4" xfId="10467" xr:uid="{01660350-DC73-4EB8-B3EF-D11943E649E3}"/>
    <cellStyle name="40% - Accent4 3 2 6" xfId="2342" xr:uid="{00000000-0005-0000-0000-000004060000}"/>
    <cellStyle name="40% - Accent4 3 2 6 2" xfId="6648" xr:uid="{00000000-0005-0000-0000-000005060000}"/>
    <cellStyle name="40% - Accent4 3 2 6 2 2" xfId="15098" xr:uid="{DF8AD168-1B8D-472B-8AE7-6A6ADFFBD986}"/>
    <cellStyle name="40% - Accent4 3 2 6 3" xfId="10880" xr:uid="{4691BEDE-C0E0-43CF-B2C2-34D382AC3CBE}"/>
    <cellStyle name="40% - Accent4 3 2 7" xfId="4582" xr:uid="{00000000-0005-0000-0000-000006060000}"/>
    <cellStyle name="40% - Accent4 3 2 7 2" xfId="13032" xr:uid="{54A6817A-46EC-4C54-BCF3-EC59C370A864}"/>
    <cellStyle name="40% - Accent4 3 2 8" xfId="8814" xr:uid="{8074E526-4128-47C0-A8C8-5F7ED1DC0C35}"/>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AB09A567-8805-4A57-931C-CAC7A7CFB4D8}"/>
    <cellStyle name="40% - Accent4 3 3 2 3" xfId="11372" xr:uid="{3F9CA71C-CD6A-41BE-831B-A74347C0D8D0}"/>
    <cellStyle name="40% - Accent4 3 3 3" xfId="4995" xr:uid="{00000000-0005-0000-0000-00000A060000}"/>
    <cellStyle name="40% - Accent4 3 3 3 2" xfId="13445" xr:uid="{CE46D349-8CD8-4725-A1C0-7C91F2B661E4}"/>
    <cellStyle name="40% - Accent4 3 3 4" xfId="9227" xr:uid="{81BC4D80-3354-4BB5-A538-E24A1B3DDD0F}"/>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E509BF8D-292E-48EC-B65C-72D0E891F1AF}"/>
    <cellStyle name="40% - Accent4 3 4 2 3" xfId="11785" xr:uid="{E03B25FB-7DDA-4C42-A050-5A1246CA01DC}"/>
    <cellStyle name="40% - Accent4 3 4 3" xfId="5408" xr:uid="{00000000-0005-0000-0000-00000E060000}"/>
    <cellStyle name="40% - Accent4 3 4 3 2" xfId="13858" xr:uid="{FFA69EF7-E192-4F5B-A043-72379AF7BEF6}"/>
    <cellStyle name="40% - Accent4 3 4 4" xfId="9640" xr:uid="{8113B446-AE96-435B-BE3F-B39E38B14392}"/>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D9D11175-7DE9-4E1A-9585-97416555C123}"/>
    <cellStyle name="40% - Accent4 3 5 2 3" xfId="12198" xr:uid="{69D2CE2B-461E-4A5D-80FC-2B6829FB0DA1}"/>
    <cellStyle name="40% - Accent4 3 5 3" xfId="5821" xr:uid="{00000000-0005-0000-0000-000012060000}"/>
    <cellStyle name="40% - Accent4 3 5 3 2" xfId="14271" xr:uid="{AA9C64AB-37E6-458E-84AF-467C65B110EF}"/>
    <cellStyle name="40% - Accent4 3 5 4" xfId="10053" xr:uid="{967438EA-38DD-4015-A9FF-6825D8DAE04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0E89FD82-BA47-44C8-9B99-09CF0F1646DC}"/>
    <cellStyle name="40% - Accent4 3 6 2 3" xfId="12611" xr:uid="{49EA9F3F-2437-4E57-9C2B-F81FB0AA81AF}"/>
    <cellStyle name="40% - Accent4 3 6 3" xfId="6234" xr:uid="{00000000-0005-0000-0000-000016060000}"/>
    <cellStyle name="40% - Accent4 3 6 3 2" xfId="14684" xr:uid="{45475040-00A8-4BF9-8E3D-B13DA2D52CE0}"/>
    <cellStyle name="40% - Accent4 3 6 4" xfId="10466" xr:uid="{0F628754-02AA-4FEB-9321-9FB4FACDEDB9}"/>
    <cellStyle name="40% - Accent4 3 7" xfId="2341" xr:uid="{00000000-0005-0000-0000-000017060000}"/>
    <cellStyle name="40% - Accent4 3 7 2" xfId="6647" xr:uid="{00000000-0005-0000-0000-000018060000}"/>
    <cellStyle name="40% - Accent4 3 7 2 2" xfId="15097" xr:uid="{918B1680-C38C-4B15-BBB3-C38AE41F1294}"/>
    <cellStyle name="40% - Accent4 3 7 3" xfId="10879" xr:uid="{FACC1264-5DA3-420C-856B-EC221505530E}"/>
    <cellStyle name="40% - Accent4 3 8" xfId="4581" xr:uid="{00000000-0005-0000-0000-000019060000}"/>
    <cellStyle name="40% - Accent4 3 8 2" xfId="13031" xr:uid="{B483F201-9144-4885-A57B-FDEBDFA26C5E}"/>
    <cellStyle name="40% - Accent4 3 9" xfId="8813" xr:uid="{AEB340B1-6A3B-483A-82C0-413600506075}"/>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89094406-549A-45A7-8201-CA5239994562}"/>
    <cellStyle name="40% - Accent4 4 2 2 3" xfId="11374" xr:uid="{C8D5749C-2DEE-4AAC-8EA5-36927B60F265}"/>
    <cellStyle name="40% - Accent4 4 2 3" xfId="4997" xr:uid="{00000000-0005-0000-0000-00001E060000}"/>
    <cellStyle name="40% - Accent4 4 2 3 2" xfId="13447" xr:uid="{A16C6336-D3A9-4FD5-88D0-8A2869688A93}"/>
    <cellStyle name="40% - Accent4 4 2 4" xfId="9229" xr:uid="{75B49CA5-73E7-497D-8AB5-63733EF82B09}"/>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E16E13B7-40C2-4AD7-9130-E598B0A1CA5C}"/>
    <cellStyle name="40% - Accent4 4 3 2 3" xfId="11787" xr:uid="{B6F8BDC7-47E4-4393-AAF4-D7B4BC881FFA}"/>
    <cellStyle name="40% - Accent4 4 3 3" xfId="5410" xr:uid="{00000000-0005-0000-0000-000022060000}"/>
    <cellStyle name="40% - Accent4 4 3 3 2" xfId="13860" xr:uid="{1E38ECE2-0B54-46C8-8409-B9248EBDFCFD}"/>
    <cellStyle name="40% - Accent4 4 3 4" xfId="9642" xr:uid="{2DB684A3-AA9B-4497-A9E0-BAD7D9679374}"/>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4EC04396-B177-4D6E-A5DB-1D29762580A5}"/>
    <cellStyle name="40% - Accent4 4 4 2 3" xfId="12200" xr:uid="{0C9BA522-D512-4CF4-B23D-B62493FE84E2}"/>
    <cellStyle name="40% - Accent4 4 4 3" xfId="5823" xr:uid="{00000000-0005-0000-0000-000026060000}"/>
    <cellStyle name="40% - Accent4 4 4 3 2" xfId="14273" xr:uid="{080C7B6F-FA40-479E-8A67-CE8B51DF43A6}"/>
    <cellStyle name="40% - Accent4 4 4 4" xfId="10055" xr:uid="{8EBA05D9-42EC-485D-AF3E-E959DEE83D65}"/>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EF7787BC-AF14-4DB5-87F3-46D766A63535}"/>
    <cellStyle name="40% - Accent4 4 5 2 3" xfId="12613" xr:uid="{4EAB1C7B-34D8-4736-91C5-28A4FBDA895C}"/>
    <cellStyle name="40% - Accent4 4 5 3" xfId="6236" xr:uid="{00000000-0005-0000-0000-00002A060000}"/>
    <cellStyle name="40% - Accent4 4 5 3 2" xfId="14686" xr:uid="{3E913D54-C432-4E69-B235-3E43A898AD5D}"/>
    <cellStyle name="40% - Accent4 4 5 4" xfId="10468" xr:uid="{C7499A31-9A98-4F1F-B0E0-B19532741159}"/>
    <cellStyle name="40% - Accent4 4 6" xfId="2343" xr:uid="{00000000-0005-0000-0000-00002B060000}"/>
    <cellStyle name="40% - Accent4 4 6 2" xfId="6649" xr:uid="{00000000-0005-0000-0000-00002C060000}"/>
    <cellStyle name="40% - Accent4 4 6 2 2" xfId="15099" xr:uid="{A8071B63-5197-402D-A7A2-0C615C9DC3B1}"/>
    <cellStyle name="40% - Accent4 4 6 3" xfId="10881" xr:uid="{8B57FC14-8AFC-48C5-8727-F1F2D56BC6DF}"/>
    <cellStyle name="40% - Accent4 4 7" xfId="4583" xr:uid="{00000000-0005-0000-0000-00002D060000}"/>
    <cellStyle name="40% - Accent4 4 7 2" xfId="13033" xr:uid="{98349477-71CF-43F4-879F-4EDE2570A73D}"/>
    <cellStyle name="40% - Accent4 4 8" xfId="8815" xr:uid="{7A9C28B9-CFDF-462B-BCB8-FCC7F052C647}"/>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7888F52C-139A-4163-A30C-A49009A6D9A0}"/>
    <cellStyle name="40% - Accent4 5 2 3" xfId="11367" xr:uid="{A4B85BD0-7833-4A2A-B9F4-94628DE4E4BD}"/>
    <cellStyle name="40% - Accent4 5 3" xfId="4990" xr:uid="{00000000-0005-0000-0000-000031060000}"/>
    <cellStyle name="40% - Accent4 5 3 2" xfId="13440" xr:uid="{E9232BE1-ED90-4BE0-8BA5-97BF0C900337}"/>
    <cellStyle name="40% - Accent4 5 4" xfId="9222" xr:uid="{47B641C8-EAC4-44B1-860C-9DD795ED0FEC}"/>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76C48F6C-E0A7-49E9-94C5-15367B6636A5}"/>
    <cellStyle name="40% - Accent4 6 2 3" xfId="11780" xr:uid="{7C92563C-A6C0-4156-B3CF-DF8BF106CE8D}"/>
    <cellStyle name="40% - Accent4 6 3" xfId="5403" xr:uid="{00000000-0005-0000-0000-000035060000}"/>
    <cellStyle name="40% - Accent4 6 3 2" xfId="13853" xr:uid="{F8D836E0-0C20-4847-ABE5-9A14D464B822}"/>
    <cellStyle name="40% - Accent4 6 4" xfId="9635" xr:uid="{4A178E59-2B8A-4381-8BA8-B5966159C497}"/>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AB3A50A1-EF21-4B2E-B2F3-4E53CB8A9BF7}"/>
    <cellStyle name="40% - Accent4 7 2 3" xfId="12193" xr:uid="{71A71972-91D4-4999-B33A-AC58924B82A7}"/>
    <cellStyle name="40% - Accent4 7 3" xfId="5816" xr:uid="{00000000-0005-0000-0000-000039060000}"/>
    <cellStyle name="40% - Accent4 7 3 2" xfId="14266" xr:uid="{FAEED383-EA13-47FF-90C7-0D1C6D828A69}"/>
    <cellStyle name="40% - Accent4 7 4" xfId="10048" xr:uid="{4EF7CA3F-2073-4236-94D0-653433B5A368}"/>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74BC72DB-1231-48C5-9BC9-D806F2EBB505}"/>
    <cellStyle name="40% - Accent4 8 2 3" xfId="12606" xr:uid="{EE60CC91-D0BD-4F7D-9B36-914F12F76584}"/>
    <cellStyle name="40% - Accent4 8 3" xfId="6229" xr:uid="{00000000-0005-0000-0000-00003D060000}"/>
    <cellStyle name="40% - Accent4 8 3 2" xfId="14679" xr:uid="{B2C3496D-F103-4353-B0EE-A316175BBC6A}"/>
    <cellStyle name="40% - Accent4 8 4" xfId="10461" xr:uid="{3BF66180-8C77-4605-BE92-C3EA09246139}"/>
    <cellStyle name="40% - Accent4 9" xfId="2336" xr:uid="{00000000-0005-0000-0000-00003E060000}"/>
    <cellStyle name="40% - Accent4 9 2" xfId="6642" xr:uid="{00000000-0005-0000-0000-00003F060000}"/>
    <cellStyle name="40% - Accent4 9 2 2" xfId="15092" xr:uid="{86169D82-1B1A-45C5-BFAD-E15099A2D30B}"/>
    <cellStyle name="40% - Accent4 9 3" xfId="10874" xr:uid="{3B3BA3D7-17FB-402B-9B20-CEBEC41070C2}"/>
    <cellStyle name="40% - Accent5" xfId="81" builtinId="47" customBuiltin="1"/>
    <cellStyle name="40% - Accent5 10" xfId="4584" xr:uid="{00000000-0005-0000-0000-000041060000}"/>
    <cellStyle name="40% - Accent5 10 2" xfId="13034" xr:uid="{D647C866-7C18-44FE-8AF1-1BF559963AA3}"/>
    <cellStyle name="40% - Accent5 11" xfId="8816" xr:uid="{B50BE826-0369-4DF8-A956-21C9530E79DE}"/>
    <cellStyle name="40% - Accent5 2" xfId="82" xr:uid="{00000000-0005-0000-0000-000042060000}"/>
    <cellStyle name="40% - Accent5 2 10" xfId="8817" xr:uid="{2C260D0E-B6CA-436D-BD96-0447CE27A72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B25D0E4E-96BB-4F6A-94EC-7BD07FB7E27B}"/>
    <cellStyle name="40% - Accent5 2 2 2 2 2 3" xfId="11378" xr:uid="{A8034507-D965-47A5-838C-AEE0632C43BE}"/>
    <cellStyle name="40% - Accent5 2 2 2 2 3" xfId="5001" xr:uid="{00000000-0005-0000-0000-000048060000}"/>
    <cellStyle name="40% - Accent5 2 2 2 2 3 2" xfId="13451" xr:uid="{F3FE7179-7E9E-43C7-8EF5-96887787BCBC}"/>
    <cellStyle name="40% - Accent5 2 2 2 2 4" xfId="9233" xr:uid="{6FB2DEC7-5785-40E6-8BB7-C1E4BE881F5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F9DBCC85-BAC2-49F9-BA16-FE2355B2009C}"/>
    <cellStyle name="40% - Accent5 2 2 2 3 2 3" xfId="11791" xr:uid="{9436D763-DC57-4FD6-A3CF-14DD7BCF50A3}"/>
    <cellStyle name="40% - Accent5 2 2 2 3 3" xfId="5414" xr:uid="{00000000-0005-0000-0000-00004C060000}"/>
    <cellStyle name="40% - Accent5 2 2 2 3 3 2" xfId="13864" xr:uid="{C048F7AE-126E-43E3-A089-CFEB1B964092}"/>
    <cellStyle name="40% - Accent5 2 2 2 3 4" xfId="9646" xr:uid="{62693938-03CE-4780-9EE7-4F7681AE2237}"/>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128BE512-6729-4CF2-9531-86FCBE8CCF13}"/>
    <cellStyle name="40% - Accent5 2 2 2 4 2 3" xfId="12204" xr:uid="{3C90746E-B6A4-49EA-99EE-2677E78B91B7}"/>
    <cellStyle name="40% - Accent5 2 2 2 4 3" xfId="5827" xr:uid="{00000000-0005-0000-0000-000050060000}"/>
    <cellStyle name="40% - Accent5 2 2 2 4 3 2" xfId="14277" xr:uid="{16E378F0-4527-4EB6-A4B3-1E266FE0620B}"/>
    <cellStyle name="40% - Accent5 2 2 2 4 4" xfId="10059" xr:uid="{D54CBC0C-709D-4E20-BF13-51BD0271AA4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4FB5E74D-FBEE-49FB-897B-137614B699BD}"/>
    <cellStyle name="40% - Accent5 2 2 2 5 2 3" xfId="12617" xr:uid="{A1960872-7814-464A-A8C9-8758278C478B}"/>
    <cellStyle name="40% - Accent5 2 2 2 5 3" xfId="6240" xr:uid="{00000000-0005-0000-0000-000054060000}"/>
    <cellStyle name="40% - Accent5 2 2 2 5 3 2" xfId="14690" xr:uid="{0A8585D8-0637-4E5E-B30B-0649C0CFFB27}"/>
    <cellStyle name="40% - Accent5 2 2 2 5 4" xfId="10472" xr:uid="{58874896-8EB7-459D-B111-B4AA3EB57C53}"/>
    <cellStyle name="40% - Accent5 2 2 2 6" xfId="2347" xr:uid="{00000000-0005-0000-0000-000055060000}"/>
    <cellStyle name="40% - Accent5 2 2 2 6 2" xfId="6653" xr:uid="{00000000-0005-0000-0000-000056060000}"/>
    <cellStyle name="40% - Accent5 2 2 2 6 2 2" xfId="15103" xr:uid="{916FDC5E-24D6-424C-A90A-8669636F625D}"/>
    <cellStyle name="40% - Accent5 2 2 2 6 3" xfId="10885" xr:uid="{7181DE46-7A78-4660-A18E-DBD69601AFAD}"/>
    <cellStyle name="40% - Accent5 2 2 2 7" xfId="4587" xr:uid="{00000000-0005-0000-0000-000057060000}"/>
    <cellStyle name="40% - Accent5 2 2 2 7 2" xfId="13037" xr:uid="{93941298-B621-41F3-B749-D1A240CDCEA2}"/>
    <cellStyle name="40% - Accent5 2 2 2 8" xfId="8819" xr:uid="{891C5BED-7BAE-4F2C-B371-5EFDCD56F98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D12775E6-9469-4840-B808-F3564303C67B}"/>
    <cellStyle name="40% - Accent5 2 2 3 2 3" xfId="11377" xr:uid="{F5634728-6A11-4C75-8625-998090BF91C3}"/>
    <cellStyle name="40% - Accent5 2 2 3 3" xfId="5000" xr:uid="{00000000-0005-0000-0000-00005B060000}"/>
    <cellStyle name="40% - Accent5 2 2 3 3 2" xfId="13450" xr:uid="{729C7EB2-5A4D-49F1-83E6-FF8B6FAF2C78}"/>
    <cellStyle name="40% - Accent5 2 2 3 4" xfId="9232" xr:uid="{5CF3B899-90E8-489F-AE23-47B8EFE9D98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466AA7E0-05A2-4428-A916-5692A8FF8142}"/>
    <cellStyle name="40% - Accent5 2 2 4 2 3" xfId="11790" xr:uid="{A7130753-80A2-4B8E-9E86-E2FC21A1F45A}"/>
    <cellStyle name="40% - Accent5 2 2 4 3" xfId="5413" xr:uid="{00000000-0005-0000-0000-00005F060000}"/>
    <cellStyle name="40% - Accent5 2 2 4 3 2" xfId="13863" xr:uid="{795DFB2C-93CA-4365-83C1-2166B92E72D9}"/>
    <cellStyle name="40% - Accent5 2 2 4 4" xfId="9645" xr:uid="{27646FB7-1A47-425D-9B41-861D572D13E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A879F61A-31CD-457E-B951-1711F65D3572}"/>
    <cellStyle name="40% - Accent5 2 2 5 2 3" xfId="12203" xr:uid="{AE5AB3EC-CC77-4C59-89A7-5B94FB8769D8}"/>
    <cellStyle name="40% - Accent5 2 2 5 3" xfId="5826" xr:uid="{00000000-0005-0000-0000-000063060000}"/>
    <cellStyle name="40% - Accent5 2 2 5 3 2" xfId="14276" xr:uid="{7A19C761-1454-40B8-87F4-DBD33A68E44E}"/>
    <cellStyle name="40% - Accent5 2 2 5 4" xfId="10058" xr:uid="{6DFAA2E3-FFF0-4643-8B01-02157660221F}"/>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7B5A3FA-EA45-4DAA-A89E-BA6AE9D4BA04}"/>
    <cellStyle name="40% - Accent5 2 2 6 2 3" xfId="12616" xr:uid="{92EE2AC0-C2A2-469A-924E-96F12F547DAB}"/>
    <cellStyle name="40% - Accent5 2 2 6 3" xfId="6239" xr:uid="{00000000-0005-0000-0000-000067060000}"/>
    <cellStyle name="40% - Accent5 2 2 6 3 2" xfId="14689" xr:uid="{6E04883E-0FFB-492C-8710-9C28E383D551}"/>
    <cellStyle name="40% - Accent5 2 2 6 4" xfId="10471" xr:uid="{3B8815E3-8123-422E-94FE-339C79D3D0E4}"/>
    <cellStyle name="40% - Accent5 2 2 7" xfId="2346" xr:uid="{00000000-0005-0000-0000-000068060000}"/>
    <cellStyle name="40% - Accent5 2 2 7 2" xfId="6652" xr:uid="{00000000-0005-0000-0000-000069060000}"/>
    <cellStyle name="40% - Accent5 2 2 7 2 2" xfId="15102" xr:uid="{8E342F6F-77A5-47C7-9C19-187462EFFB93}"/>
    <cellStyle name="40% - Accent5 2 2 7 3" xfId="10884" xr:uid="{236406C5-B953-4DED-AC08-FB2D0C522B2D}"/>
    <cellStyle name="40% - Accent5 2 2 8" xfId="4586" xr:uid="{00000000-0005-0000-0000-00006A060000}"/>
    <cellStyle name="40% - Accent5 2 2 8 2" xfId="13036" xr:uid="{0EA802B6-A96C-4630-940F-D91B460EEA18}"/>
    <cellStyle name="40% - Accent5 2 2 9" xfId="8818" xr:uid="{B1BBE66B-2FCF-4D4A-A8D7-7BFE2FC15232}"/>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3A58FD1D-6720-4E9A-A977-52383A67B046}"/>
    <cellStyle name="40% - Accent5 2 3 2 2 3" xfId="11379" xr:uid="{1CCC2CB5-4DC0-4904-BE92-F38CDB4C58C8}"/>
    <cellStyle name="40% - Accent5 2 3 2 3" xfId="5002" xr:uid="{00000000-0005-0000-0000-00006F060000}"/>
    <cellStyle name="40% - Accent5 2 3 2 3 2" xfId="13452" xr:uid="{A5BD6D8F-BB9B-4313-A4B8-825CB30974E8}"/>
    <cellStyle name="40% - Accent5 2 3 2 4" xfId="9234" xr:uid="{F9AE5C6C-68DA-4A97-9D94-06D966633314}"/>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00119D15-59BB-4B42-80A8-F255FECF9757}"/>
    <cellStyle name="40% - Accent5 2 3 3 2 3" xfId="11792" xr:uid="{2DC11B6D-7A19-4B91-8169-F10CEACCB9BE}"/>
    <cellStyle name="40% - Accent5 2 3 3 3" xfId="5415" xr:uid="{00000000-0005-0000-0000-000073060000}"/>
    <cellStyle name="40% - Accent5 2 3 3 3 2" xfId="13865" xr:uid="{5CA025FA-45F0-42C7-8277-721CCAB7B6DF}"/>
    <cellStyle name="40% - Accent5 2 3 3 4" xfId="9647" xr:uid="{68BC6536-A8F2-4239-9DAA-A36CEC15425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DE3BB3BC-D7AA-4C78-B022-73D5D44ABD6F}"/>
    <cellStyle name="40% - Accent5 2 3 4 2 3" xfId="12205" xr:uid="{6DE3ACCA-AD50-47D1-93D4-0D81FD26DEF5}"/>
    <cellStyle name="40% - Accent5 2 3 4 3" xfId="5828" xr:uid="{00000000-0005-0000-0000-000077060000}"/>
    <cellStyle name="40% - Accent5 2 3 4 3 2" xfId="14278" xr:uid="{169898AE-C8CF-49D9-8B35-0DCBC1BD9DC0}"/>
    <cellStyle name="40% - Accent5 2 3 4 4" xfId="10060" xr:uid="{435E6FA2-5D46-4510-9E64-C31E0CF9BDA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6A337C49-0400-499F-A763-ACEF14D1C4F5}"/>
    <cellStyle name="40% - Accent5 2 3 5 2 3" xfId="12618" xr:uid="{3F592166-D62F-41C3-AA62-F847924B92FE}"/>
    <cellStyle name="40% - Accent5 2 3 5 3" xfId="6241" xr:uid="{00000000-0005-0000-0000-00007B060000}"/>
    <cellStyle name="40% - Accent5 2 3 5 3 2" xfId="14691" xr:uid="{31616111-60F7-461C-9EFE-14DD517EB729}"/>
    <cellStyle name="40% - Accent5 2 3 5 4" xfId="10473" xr:uid="{68A66A72-2D41-4377-9017-C7C50DE4630C}"/>
    <cellStyle name="40% - Accent5 2 3 6" xfId="2348" xr:uid="{00000000-0005-0000-0000-00007C060000}"/>
    <cellStyle name="40% - Accent5 2 3 6 2" xfId="6654" xr:uid="{00000000-0005-0000-0000-00007D060000}"/>
    <cellStyle name="40% - Accent5 2 3 6 2 2" xfId="15104" xr:uid="{9E8CBCF4-A7EF-4C28-A1F7-7D85D3526BE7}"/>
    <cellStyle name="40% - Accent5 2 3 6 3" xfId="10886" xr:uid="{148CAA04-503B-41FB-B2D0-75C0F0126A42}"/>
    <cellStyle name="40% - Accent5 2 3 7" xfId="4588" xr:uid="{00000000-0005-0000-0000-00007E060000}"/>
    <cellStyle name="40% - Accent5 2 3 7 2" xfId="13038" xr:uid="{F0B0D078-C481-4A54-B671-1B554AAA53FE}"/>
    <cellStyle name="40% - Accent5 2 3 8" xfId="8820" xr:uid="{DAA0A154-F243-4013-940C-536E6CE71F4B}"/>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3160E5BC-5FE4-4587-9CE4-8E38436A7424}"/>
    <cellStyle name="40% - Accent5 2 4 2 3" xfId="11376" xr:uid="{787E5566-4C96-4672-A854-D33237948728}"/>
    <cellStyle name="40% - Accent5 2 4 3" xfId="4999" xr:uid="{00000000-0005-0000-0000-000082060000}"/>
    <cellStyle name="40% - Accent5 2 4 3 2" xfId="13449" xr:uid="{E31C0AAE-3872-4D4C-AD71-87BAD3B9BDC5}"/>
    <cellStyle name="40% - Accent5 2 4 4" xfId="9231" xr:uid="{7DC34411-7AD7-425F-B464-91071A5C95C3}"/>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97878BE3-9275-45FE-AB6E-DC66C89BB395}"/>
    <cellStyle name="40% - Accent5 2 5 2 3" xfId="11789" xr:uid="{56758DBB-35FE-46C1-A5E2-D58434A83AC2}"/>
    <cellStyle name="40% - Accent5 2 5 3" xfId="5412" xr:uid="{00000000-0005-0000-0000-000086060000}"/>
    <cellStyle name="40% - Accent5 2 5 3 2" xfId="13862" xr:uid="{A7F262E5-85BE-4DE2-929B-D2F741F0570E}"/>
    <cellStyle name="40% - Accent5 2 5 4" xfId="9644" xr:uid="{1B943E26-4B1F-476A-8AFB-050646F7D4F7}"/>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2FB9790A-C968-4345-A571-130DC7C2B5A7}"/>
    <cellStyle name="40% - Accent5 2 6 2 3" xfId="12202" xr:uid="{11123460-5A29-4409-A8E2-93F3091B6AEA}"/>
    <cellStyle name="40% - Accent5 2 6 3" xfId="5825" xr:uid="{00000000-0005-0000-0000-00008A060000}"/>
    <cellStyle name="40% - Accent5 2 6 3 2" xfId="14275" xr:uid="{FBE70431-A25E-4D6A-A614-2723697020BD}"/>
    <cellStyle name="40% - Accent5 2 6 4" xfId="10057" xr:uid="{C0F84AB5-22A4-4A65-9591-2EC7D348FA05}"/>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55A98E87-A98C-452D-9B45-9D72B5129F3C}"/>
    <cellStyle name="40% - Accent5 2 7 2 3" xfId="12615" xr:uid="{14F4EE28-55E0-4C2A-A12F-13DBA2C193D5}"/>
    <cellStyle name="40% - Accent5 2 7 3" xfId="6238" xr:uid="{00000000-0005-0000-0000-00008E060000}"/>
    <cellStyle name="40% - Accent5 2 7 3 2" xfId="14688" xr:uid="{6B86474F-BEDD-4AAB-9E38-107E3802BD4C}"/>
    <cellStyle name="40% - Accent5 2 7 4" xfId="10470" xr:uid="{C8D6749D-F81D-4F8C-820F-66CFA7680B27}"/>
    <cellStyle name="40% - Accent5 2 8" xfId="2345" xr:uid="{00000000-0005-0000-0000-00008F060000}"/>
    <cellStyle name="40% - Accent5 2 8 2" xfId="6651" xr:uid="{00000000-0005-0000-0000-000090060000}"/>
    <cellStyle name="40% - Accent5 2 8 2 2" xfId="15101" xr:uid="{E39682F0-CF57-4859-8197-38AA84F319EE}"/>
    <cellStyle name="40% - Accent5 2 8 3" xfId="10883" xr:uid="{3D0B4880-9D51-44E2-8133-7C64CD4D1CB2}"/>
    <cellStyle name="40% - Accent5 2 9" xfId="4585" xr:uid="{00000000-0005-0000-0000-000091060000}"/>
    <cellStyle name="40% - Accent5 2 9 2" xfId="13035" xr:uid="{E85ACF55-F38E-425C-B6E2-36E64B6C82C3}"/>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F088AF08-1F28-4EDE-93CB-C471745E6A46}"/>
    <cellStyle name="40% - Accent5 3 2 2 2 3" xfId="11381" xr:uid="{C6E42632-FEFD-495D-AB1E-6153213B27C6}"/>
    <cellStyle name="40% - Accent5 3 2 2 3" xfId="5004" xr:uid="{00000000-0005-0000-0000-000097060000}"/>
    <cellStyle name="40% - Accent5 3 2 2 3 2" xfId="13454" xr:uid="{5590C7FD-EAA2-40CB-BF94-F7BB374BB55D}"/>
    <cellStyle name="40% - Accent5 3 2 2 4" xfId="9236" xr:uid="{8E07E845-A338-4646-868B-639EE4EFD788}"/>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0803A768-18ED-455B-8A27-D6C904EBD545}"/>
    <cellStyle name="40% - Accent5 3 2 3 2 3" xfId="11794" xr:uid="{4BCD5549-0BAD-4480-999A-618515BEA32A}"/>
    <cellStyle name="40% - Accent5 3 2 3 3" xfId="5417" xr:uid="{00000000-0005-0000-0000-00009B060000}"/>
    <cellStyle name="40% - Accent5 3 2 3 3 2" xfId="13867" xr:uid="{104770A1-D938-4430-B7D8-36297BD2D8E9}"/>
    <cellStyle name="40% - Accent5 3 2 3 4" xfId="9649" xr:uid="{690AA7B0-02B3-4C67-961F-1167AAB85B4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17449F00-0FB3-4DC5-A7AF-276A297030C2}"/>
    <cellStyle name="40% - Accent5 3 2 4 2 3" xfId="12207" xr:uid="{080D8227-3522-4851-AC8D-6E581026C741}"/>
    <cellStyle name="40% - Accent5 3 2 4 3" xfId="5830" xr:uid="{00000000-0005-0000-0000-00009F060000}"/>
    <cellStyle name="40% - Accent5 3 2 4 3 2" xfId="14280" xr:uid="{C08067C7-56BC-4124-BB95-160C677BD239}"/>
    <cellStyle name="40% - Accent5 3 2 4 4" xfId="10062" xr:uid="{3EEABE22-C2B1-4205-8A40-457EDE3E320C}"/>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9927A856-B109-4CC5-AE52-1FD5B09618A9}"/>
    <cellStyle name="40% - Accent5 3 2 5 2 3" xfId="12620" xr:uid="{C3F9F644-D4D6-47A7-82E4-6E1F7E7A9FC5}"/>
    <cellStyle name="40% - Accent5 3 2 5 3" xfId="6243" xr:uid="{00000000-0005-0000-0000-0000A3060000}"/>
    <cellStyle name="40% - Accent5 3 2 5 3 2" xfId="14693" xr:uid="{F99FF82C-7CCE-40CF-B704-898323BA4C0C}"/>
    <cellStyle name="40% - Accent5 3 2 5 4" xfId="10475" xr:uid="{B15B5954-6127-409B-9741-8F7437B5BB5B}"/>
    <cellStyle name="40% - Accent5 3 2 6" xfId="2350" xr:uid="{00000000-0005-0000-0000-0000A4060000}"/>
    <cellStyle name="40% - Accent5 3 2 6 2" xfId="6656" xr:uid="{00000000-0005-0000-0000-0000A5060000}"/>
    <cellStyle name="40% - Accent5 3 2 6 2 2" xfId="15106" xr:uid="{217C3912-B236-4B83-B461-A54F7EA3096A}"/>
    <cellStyle name="40% - Accent5 3 2 6 3" xfId="10888" xr:uid="{BE12ADB3-65EA-4DE3-B2C7-142ECA553A3E}"/>
    <cellStyle name="40% - Accent5 3 2 7" xfId="4590" xr:uid="{00000000-0005-0000-0000-0000A6060000}"/>
    <cellStyle name="40% - Accent5 3 2 7 2" xfId="13040" xr:uid="{276246B5-0913-4274-9C8F-CA3AE89E1DA8}"/>
    <cellStyle name="40% - Accent5 3 2 8" xfId="8822" xr:uid="{325D7F00-AEAD-4419-8849-33BB8074ECC9}"/>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A7CF5544-FAE1-4AC9-B3B1-8D2B845D3DAB}"/>
    <cellStyle name="40% - Accent5 3 3 2 3" xfId="11380" xr:uid="{DB5C4902-9711-402D-83CC-D84980F8DC60}"/>
    <cellStyle name="40% - Accent5 3 3 3" xfId="5003" xr:uid="{00000000-0005-0000-0000-0000AA060000}"/>
    <cellStyle name="40% - Accent5 3 3 3 2" xfId="13453" xr:uid="{3A8CDB75-48B1-482D-B8BA-5AB7EE291CD5}"/>
    <cellStyle name="40% - Accent5 3 3 4" xfId="9235" xr:uid="{4DD01C63-6D8C-422A-B36A-558758F804E4}"/>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D5B5D1D8-2816-4850-A4C5-0CD012AFC66E}"/>
    <cellStyle name="40% - Accent5 3 4 2 3" xfId="11793" xr:uid="{1AFF8481-46B5-42C8-AD50-BC6643691D27}"/>
    <cellStyle name="40% - Accent5 3 4 3" xfId="5416" xr:uid="{00000000-0005-0000-0000-0000AE060000}"/>
    <cellStyle name="40% - Accent5 3 4 3 2" xfId="13866" xr:uid="{2D3014AF-263B-4E94-8F0A-F47F0A0BBCF3}"/>
    <cellStyle name="40% - Accent5 3 4 4" xfId="9648" xr:uid="{2123D42F-3E8F-406B-802F-02B27FC5AC00}"/>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176F0ECD-9A32-4182-957B-6310C922BDB5}"/>
    <cellStyle name="40% - Accent5 3 5 2 3" xfId="12206" xr:uid="{65294F9A-BED8-429A-AC98-8B6D43930BE8}"/>
    <cellStyle name="40% - Accent5 3 5 3" xfId="5829" xr:uid="{00000000-0005-0000-0000-0000B2060000}"/>
    <cellStyle name="40% - Accent5 3 5 3 2" xfId="14279" xr:uid="{02E0C76D-B9D4-42D7-A21F-24B3582CC1FA}"/>
    <cellStyle name="40% - Accent5 3 5 4" xfId="10061" xr:uid="{7F595DE3-8886-4325-B86C-70DFD3FE2BE2}"/>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F5E6083D-3814-40BD-BDF0-CE15E6E65E52}"/>
    <cellStyle name="40% - Accent5 3 6 2 3" xfId="12619" xr:uid="{E11CA3AE-F9DB-4DF3-94CC-8A6F7E6A7658}"/>
    <cellStyle name="40% - Accent5 3 6 3" xfId="6242" xr:uid="{00000000-0005-0000-0000-0000B6060000}"/>
    <cellStyle name="40% - Accent5 3 6 3 2" xfId="14692" xr:uid="{236F774A-2475-429B-ACF1-D921122FAA60}"/>
    <cellStyle name="40% - Accent5 3 6 4" xfId="10474" xr:uid="{91C3EF7C-8C70-4C60-9323-8A7DC254CCB7}"/>
    <cellStyle name="40% - Accent5 3 7" xfId="2349" xr:uid="{00000000-0005-0000-0000-0000B7060000}"/>
    <cellStyle name="40% - Accent5 3 7 2" xfId="6655" xr:uid="{00000000-0005-0000-0000-0000B8060000}"/>
    <cellStyle name="40% - Accent5 3 7 2 2" xfId="15105" xr:uid="{7D930E47-029A-4005-8533-82B4A0CEF512}"/>
    <cellStyle name="40% - Accent5 3 7 3" xfId="10887" xr:uid="{C400893A-52F7-406F-9177-00C5209196FE}"/>
    <cellStyle name="40% - Accent5 3 8" xfId="4589" xr:uid="{00000000-0005-0000-0000-0000B9060000}"/>
    <cellStyle name="40% - Accent5 3 8 2" xfId="13039" xr:uid="{9D8A8B00-1FAB-4213-950A-99F70F0DC19D}"/>
    <cellStyle name="40% - Accent5 3 9" xfId="8821" xr:uid="{EDB1F5DE-06EB-4694-9AC7-90E5ADF52AD5}"/>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8689B9DC-F72B-4F00-83B5-721EA83026A6}"/>
    <cellStyle name="40% - Accent5 4 2 2 3" xfId="11382" xr:uid="{6D61CCCE-0460-483E-9D75-93179F2E147B}"/>
    <cellStyle name="40% - Accent5 4 2 3" xfId="5005" xr:uid="{00000000-0005-0000-0000-0000BE060000}"/>
    <cellStyle name="40% - Accent5 4 2 3 2" xfId="13455" xr:uid="{5B901A0D-89ED-4FA4-A71C-E1D3E2448C7B}"/>
    <cellStyle name="40% - Accent5 4 2 4" xfId="9237" xr:uid="{60A19394-E8E3-4B36-A745-955E47A2069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4B6A2A30-B429-4B17-B906-F1E4D3084F87}"/>
    <cellStyle name="40% - Accent5 4 3 2 3" xfId="11795" xr:uid="{C8477D4B-0B2D-464D-8CDA-1332BDD18FAC}"/>
    <cellStyle name="40% - Accent5 4 3 3" xfId="5418" xr:uid="{00000000-0005-0000-0000-0000C2060000}"/>
    <cellStyle name="40% - Accent5 4 3 3 2" xfId="13868" xr:uid="{811CD246-6F86-43A3-B6E9-093D66FAD467}"/>
    <cellStyle name="40% - Accent5 4 3 4" xfId="9650" xr:uid="{EE4BED6E-3EB2-40E9-8FE9-E89C5899C43C}"/>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87F4E48D-19A1-4A24-B16E-13B53651BB0F}"/>
    <cellStyle name="40% - Accent5 4 4 2 3" xfId="12208" xr:uid="{A795A412-8A71-49EE-9A15-EA3175486C4B}"/>
    <cellStyle name="40% - Accent5 4 4 3" xfId="5831" xr:uid="{00000000-0005-0000-0000-0000C6060000}"/>
    <cellStyle name="40% - Accent5 4 4 3 2" xfId="14281" xr:uid="{0D9C102B-2734-4465-8B4C-D214F254A322}"/>
    <cellStyle name="40% - Accent5 4 4 4" xfId="10063" xr:uid="{2B5D1243-0BC5-4414-AC29-9014F74D3F26}"/>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632346CA-52C8-44E5-96BC-256856B3EC6B}"/>
    <cellStyle name="40% - Accent5 4 5 2 3" xfId="12621" xr:uid="{11278400-CA02-4ECF-8A74-8BFC0D22EBD8}"/>
    <cellStyle name="40% - Accent5 4 5 3" xfId="6244" xr:uid="{00000000-0005-0000-0000-0000CA060000}"/>
    <cellStyle name="40% - Accent5 4 5 3 2" xfId="14694" xr:uid="{FE684624-5AA1-4E31-B3F4-126A4203529D}"/>
    <cellStyle name="40% - Accent5 4 5 4" xfId="10476" xr:uid="{11141335-E43D-48B1-93B9-9048C661DC5A}"/>
    <cellStyle name="40% - Accent5 4 6" xfId="2351" xr:uid="{00000000-0005-0000-0000-0000CB060000}"/>
    <cellStyle name="40% - Accent5 4 6 2" xfId="6657" xr:uid="{00000000-0005-0000-0000-0000CC060000}"/>
    <cellStyle name="40% - Accent5 4 6 2 2" xfId="15107" xr:uid="{37334E54-39D5-4E96-AA9F-CE933E739F54}"/>
    <cellStyle name="40% - Accent5 4 6 3" xfId="10889" xr:uid="{3854B274-4373-4DF3-95E9-83591D0AED94}"/>
    <cellStyle name="40% - Accent5 4 7" xfId="4591" xr:uid="{00000000-0005-0000-0000-0000CD060000}"/>
    <cellStyle name="40% - Accent5 4 7 2" xfId="13041" xr:uid="{393BFDB7-2254-43BF-85EC-CF85046AFDF5}"/>
    <cellStyle name="40% - Accent5 4 8" xfId="8823" xr:uid="{1A3D803F-F1C8-42E9-871C-217246C98D9A}"/>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016C54C4-5ED2-49F8-9ABA-785863D1C587}"/>
    <cellStyle name="40% - Accent5 5 2 3" xfId="11375" xr:uid="{F9763262-E1BA-442F-A6DB-1EADCECE1EF8}"/>
    <cellStyle name="40% - Accent5 5 3" xfId="4998" xr:uid="{00000000-0005-0000-0000-0000D1060000}"/>
    <cellStyle name="40% - Accent5 5 3 2" xfId="13448" xr:uid="{426C93DB-ED27-43C7-9418-DD38DE118222}"/>
    <cellStyle name="40% - Accent5 5 4" xfId="9230" xr:uid="{D63136BE-FEED-477F-B9C3-3B920CDAA4D8}"/>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B2808757-370F-4889-9B6E-4F5AA294164C}"/>
    <cellStyle name="40% - Accent5 6 2 3" xfId="11788" xr:uid="{EBA897EE-49BE-45D2-ABAC-6BE5DFFBC180}"/>
    <cellStyle name="40% - Accent5 6 3" xfId="5411" xr:uid="{00000000-0005-0000-0000-0000D5060000}"/>
    <cellStyle name="40% - Accent5 6 3 2" xfId="13861" xr:uid="{81EE2DDD-A834-4B6E-BE90-8B0F1B3810AD}"/>
    <cellStyle name="40% - Accent5 6 4" xfId="9643" xr:uid="{941C1F1A-F5D6-4EF2-A688-A3C8B8D30E0D}"/>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0641BA2F-BBB9-4E41-AC79-4924AABACD6B}"/>
    <cellStyle name="40% - Accent5 7 2 3" xfId="12201" xr:uid="{8D1C2193-547D-419C-A720-D16C9D6922A9}"/>
    <cellStyle name="40% - Accent5 7 3" xfId="5824" xr:uid="{00000000-0005-0000-0000-0000D9060000}"/>
    <cellStyle name="40% - Accent5 7 3 2" xfId="14274" xr:uid="{602A4DF9-3165-4C6D-9F55-A913962EAF40}"/>
    <cellStyle name="40% - Accent5 7 4" xfId="10056" xr:uid="{5BCB2FE8-471D-49AF-896B-DE6ADF0283BA}"/>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85E731E0-260B-4127-B736-722C94671C35}"/>
    <cellStyle name="40% - Accent5 8 2 3" xfId="12614" xr:uid="{EAA53774-CFA2-43B3-944F-D2042987ACB4}"/>
    <cellStyle name="40% - Accent5 8 3" xfId="6237" xr:uid="{00000000-0005-0000-0000-0000DD060000}"/>
    <cellStyle name="40% - Accent5 8 3 2" xfId="14687" xr:uid="{2FEFA459-105B-4520-AB64-08C9A2E7C730}"/>
    <cellStyle name="40% - Accent5 8 4" xfId="10469" xr:uid="{9A2AC71C-23C5-4EC4-AE95-4697702107AA}"/>
    <cellStyle name="40% - Accent5 9" xfId="2344" xr:uid="{00000000-0005-0000-0000-0000DE060000}"/>
    <cellStyle name="40% - Accent5 9 2" xfId="6650" xr:uid="{00000000-0005-0000-0000-0000DF060000}"/>
    <cellStyle name="40% - Accent5 9 2 2" xfId="15100" xr:uid="{A79C60E0-07F7-4433-957D-7DE86F1C1C43}"/>
    <cellStyle name="40% - Accent5 9 3" xfId="10882" xr:uid="{299B90E3-95A2-42CE-9A01-4BA45F451125}"/>
    <cellStyle name="40% - Accent6" xfId="89" builtinId="51" customBuiltin="1"/>
    <cellStyle name="40% - Accent6 10" xfId="4592" xr:uid="{00000000-0005-0000-0000-0000E1060000}"/>
    <cellStyle name="40% - Accent6 10 2" xfId="13042" xr:uid="{A7A9B44D-7536-413A-94DE-D307FAE83F55}"/>
    <cellStyle name="40% - Accent6 11" xfId="8824" xr:uid="{C504FA8B-DB7F-4F92-AEC9-07B68FFF600B}"/>
    <cellStyle name="40% - Accent6 2" xfId="90" xr:uid="{00000000-0005-0000-0000-0000E2060000}"/>
    <cellStyle name="40% - Accent6 2 10" xfId="8825" xr:uid="{0EF68F8B-1935-4192-8F5F-A6159EBEB56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BC2842B4-7BC0-407E-BEB3-A31E2F967573}"/>
    <cellStyle name="40% - Accent6 2 2 2 2 2 3" xfId="11386" xr:uid="{B111D336-6CF5-47B1-8DB1-0C9BB2F76071}"/>
    <cellStyle name="40% - Accent6 2 2 2 2 3" xfId="5009" xr:uid="{00000000-0005-0000-0000-0000E8060000}"/>
    <cellStyle name="40% - Accent6 2 2 2 2 3 2" xfId="13459" xr:uid="{8FD3EB6D-E406-4F92-B6AD-A8090129DBC8}"/>
    <cellStyle name="40% - Accent6 2 2 2 2 4" xfId="9241" xr:uid="{B91473EB-5B57-42C0-9B70-322C368F75B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8BD21EBD-80C3-4B76-A861-484BAC524F1A}"/>
    <cellStyle name="40% - Accent6 2 2 2 3 2 3" xfId="11799" xr:uid="{3AC4D34F-A6A1-438E-9E00-4C2D413EFE5A}"/>
    <cellStyle name="40% - Accent6 2 2 2 3 3" xfId="5422" xr:uid="{00000000-0005-0000-0000-0000EC060000}"/>
    <cellStyle name="40% - Accent6 2 2 2 3 3 2" xfId="13872" xr:uid="{89DC6438-B65B-4514-A194-6DE8C9328B1A}"/>
    <cellStyle name="40% - Accent6 2 2 2 3 4" xfId="9654" xr:uid="{FEC9C10C-4FC0-4C14-8E7B-F53B23396DA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DE8D4C20-DF4E-4FF1-9F37-8E7039B161AE}"/>
    <cellStyle name="40% - Accent6 2 2 2 4 2 3" xfId="12212" xr:uid="{4AD09DD2-32EB-48C3-A0DF-030CAD463C76}"/>
    <cellStyle name="40% - Accent6 2 2 2 4 3" xfId="5835" xr:uid="{00000000-0005-0000-0000-0000F0060000}"/>
    <cellStyle name="40% - Accent6 2 2 2 4 3 2" xfId="14285" xr:uid="{35FA3662-B853-4DEF-A571-EC6B792DEA72}"/>
    <cellStyle name="40% - Accent6 2 2 2 4 4" xfId="10067" xr:uid="{F27DDDDC-CE7D-487F-B9AD-6E2C1B66B1A4}"/>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CE229B34-64F5-4ACB-990C-EAF5892F6A2E}"/>
    <cellStyle name="40% - Accent6 2 2 2 5 2 3" xfId="12625" xr:uid="{45D06D79-8769-498F-A967-2D7E7E84601F}"/>
    <cellStyle name="40% - Accent6 2 2 2 5 3" xfId="6248" xr:uid="{00000000-0005-0000-0000-0000F4060000}"/>
    <cellStyle name="40% - Accent6 2 2 2 5 3 2" xfId="14698" xr:uid="{006B74B0-F9BF-4A3A-AE24-630874AF8089}"/>
    <cellStyle name="40% - Accent6 2 2 2 5 4" xfId="10480" xr:uid="{78802577-2128-4817-B979-28A70931C53C}"/>
    <cellStyle name="40% - Accent6 2 2 2 6" xfId="2355" xr:uid="{00000000-0005-0000-0000-0000F5060000}"/>
    <cellStyle name="40% - Accent6 2 2 2 6 2" xfId="6661" xr:uid="{00000000-0005-0000-0000-0000F6060000}"/>
    <cellStyle name="40% - Accent6 2 2 2 6 2 2" xfId="15111" xr:uid="{B21A391D-0298-4554-9C9D-033D46E754D4}"/>
    <cellStyle name="40% - Accent6 2 2 2 6 3" xfId="10893" xr:uid="{A68732C0-73CA-4912-896C-7885ACC43913}"/>
    <cellStyle name="40% - Accent6 2 2 2 7" xfId="4595" xr:uid="{00000000-0005-0000-0000-0000F7060000}"/>
    <cellStyle name="40% - Accent6 2 2 2 7 2" xfId="13045" xr:uid="{6CCAD2EB-B466-4BBD-AA42-DC09C904D481}"/>
    <cellStyle name="40% - Accent6 2 2 2 8" xfId="8827" xr:uid="{9FAD72E2-723B-4205-9B60-3745E056F8C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439FD50F-9A59-4063-993F-064339E62067}"/>
    <cellStyle name="40% - Accent6 2 2 3 2 3" xfId="11385" xr:uid="{4B039B1B-7BC4-4F46-946E-3C40C18E51EE}"/>
    <cellStyle name="40% - Accent6 2 2 3 3" xfId="5008" xr:uid="{00000000-0005-0000-0000-0000FB060000}"/>
    <cellStyle name="40% - Accent6 2 2 3 3 2" xfId="13458" xr:uid="{30D10ECD-53C8-4CFA-AE82-F322460DBF09}"/>
    <cellStyle name="40% - Accent6 2 2 3 4" xfId="9240" xr:uid="{31A01E4D-CB82-4A24-B883-FCC0D250418D}"/>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03DF3983-A300-4E67-B0B4-6353BF93FB00}"/>
    <cellStyle name="40% - Accent6 2 2 4 2 3" xfId="11798" xr:uid="{AA77916E-CD7C-4CF9-A3CC-576B28108F26}"/>
    <cellStyle name="40% - Accent6 2 2 4 3" xfId="5421" xr:uid="{00000000-0005-0000-0000-0000FF060000}"/>
    <cellStyle name="40% - Accent6 2 2 4 3 2" xfId="13871" xr:uid="{A36DFEDF-8F0E-4D99-A4DA-A5E975594193}"/>
    <cellStyle name="40% - Accent6 2 2 4 4" xfId="9653" xr:uid="{13DDDFEE-E52E-42F8-9AAF-0890D3DAAFE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527AE95D-6F1C-48EE-80E2-308E18B45EBA}"/>
    <cellStyle name="40% - Accent6 2 2 5 2 3" xfId="12211" xr:uid="{E32CD6AB-5E2A-48B0-A0C1-54D46F3257BA}"/>
    <cellStyle name="40% - Accent6 2 2 5 3" xfId="5834" xr:uid="{00000000-0005-0000-0000-000003070000}"/>
    <cellStyle name="40% - Accent6 2 2 5 3 2" xfId="14284" xr:uid="{8E8D6FB0-CBE5-49E8-B0F3-2285B09372F6}"/>
    <cellStyle name="40% - Accent6 2 2 5 4" xfId="10066" xr:uid="{C70E1903-40A8-4DE5-9A75-2689886EFEAB}"/>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6A1E6C79-588A-4534-8E71-B6D44ECA453B}"/>
    <cellStyle name="40% - Accent6 2 2 6 2 3" xfId="12624" xr:uid="{81F29D4A-BF39-4E9A-B114-7568E0B39CD3}"/>
    <cellStyle name="40% - Accent6 2 2 6 3" xfId="6247" xr:uid="{00000000-0005-0000-0000-000007070000}"/>
    <cellStyle name="40% - Accent6 2 2 6 3 2" xfId="14697" xr:uid="{EB3B9D86-DBBB-4281-8A31-E367CC3B4ED0}"/>
    <cellStyle name="40% - Accent6 2 2 6 4" xfId="10479" xr:uid="{92D66682-BD0D-46E4-AF24-F0705F9906CD}"/>
    <cellStyle name="40% - Accent6 2 2 7" xfId="2354" xr:uid="{00000000-0005-0000-0000-000008070000}"/>
    <cellStyle name="40% - Accent6 2 2 7 2" xfId="6660" xr:uid="{00000000-0005-0000-0000-000009070000}"/>
    <cellStyle name="40% - Accent6 2 2 7 2 2" xfId="15110" xr:uid="{6D32215D-F009-4288-8BC3-78EA045DC8A7}"/>
    <cellStyle name="40% - Accent6 2 2 7 3" xfId="10892" xr:uid="{61DE7EC9-C122-46F9-ACEE-A01C4336C241}"/>
    <cellStyle name="40% - Accent6 2 2 8" xfId="4594" xr:uid="{00000000-0005-0000-0000-00000A070000}"/>
    <cellStyle name="40% - Accent6 2 2 8 2" xfId="13044" xr:uid="{26129C68-C036-41B1-B532-CF19BE394205}"/>
    <cellStyle name="40% - Accent6 2 2 9" xfId="8826" xr:uid="{2A7BD6F6-DCCB-426D-B12C-C2E564CA360A}"/>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923E326F-E924-4B6A-B090-5B28822BB7BF}"/>
    <cellStyle name="40% - Accent6 2 3 2 2 3" xfId="11387" xr:uid="{C791FF2C-BEC7-4B37-99D5-1B0F2DBD35EA}"/>
    <cellStyle name="40% - Accent6 2 3 2 3" xfId="5010" xr:uid="{00000000-0005-0000-0000-00000F070000}"/>
    <cellStyle name="40% - Accent6 2 3 2 3 2" xfId="13460" xr:uid="{EA1692F4-E3FE-4F09-B245-9AD929A09FA4}"/>
    <cellStyle name="40% - Accent6 2 3 2 4" xfId="9242" xr:uid="{DF4C8FE9-58B7-4193-BEDA-310C2838C35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8C2BAE54-90CE-4AAE-B51F-13A80110C643}"/>
    <cellStyle name="40% - Accent6 2 3 3 2 3" xfId="11800" xr:uid="{B9F4A780-50B5-443A-877F-5B95901E1AE7}"/>
    <cellStyle name="40% - Accent6 2 3 3 3" xfId="5423" xr:uid="{00000000-0005-0000-0000-000013070000}"/>
    <cellStyle name="40% - Accent6 2 3 3 3 2" xfId="13873" xr:uid="{0EDEB285-AB9F-45F7-BBA4-F9B4260BCF50}"/>
    <cellStyle name="40% - Accent6 2 3 3 4" xfId="9655" xr:uid="{A4586407-653B-4821-94D3-E3A42EADE35A}"/>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0E953DDE-B8D5-4CF9-AC34-72C8DAAA9D8A}"/>
    <cellStyle name="40% - Accent6 2 3 4 2 3" xfId="12213" xr:uid="{71093028-BA0F-48BF-B03A-81CC6DF76E7D}"/>
    <cellStyle name="40% - Accent6 2 3 4 3" xfId="5836" xr:uid="{00000000-0005-0000-0000-000017070000}"/>
    <cellStyle name="40% - Accent6 2 3 4 3 2" xfId="14286" xr:uid="{0604A2D4-FC47-48B4-81B0-1DD31D1E44FD}"/>
    <cellStyle name="40% - Accent6 2 3 4 4" xfId="10068" xr:uid="{71234EC9-4BEE-4C9A-8573-E17D53865D9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3385FF3-DA4F-42FE-8115-45EC993907D5}"/>
    <cellStyle name="40% - Accent6 2 3 5 2 3" xfId="12626" xr:uid="{EF09E65E-6C47-434A-A094-C5BD20CFCE14}"/>
    <cellStyle name="40% - Accent6 2 3 5 3" xfId="6249" xr:uid="{00000000-0005-0000-0000-00001B070000}"/>
    <cellStyle name="40% - Accent6 2 3 5 3 2" xfId="14699" xr:uid="{FA800E60-0733-4F0D-9ED3-086138A6A0C1}"/>
    <cellStyle name="40% - Accent6 2 3 5 4" xfId="10481" xr:uid="{C23B4A02-53B2-4067-BD25-3BDB0796329F}"/>
    <cellStyle name="40% - Accent6 2 3 6" xfId="2356" xr:uid="{00000000-0005-0000-0000-00001C070000}"/>
    <cellStyle name="40% - Accent6 2 3 6 2" xfId="6662" xr:uid="{00000000-0005-0000-0000-00001D070000}"/>
    <cellStyle name="40% - Accent6 2 3 6 2 2" xfId="15112" xr:uid="{BE6DB509-B245-4506-8648-B9DB63C87075}"/>
    <cellStyle name="40% - Accent6 2 3 6 3" xfId="10894" xr:uid="{ED928510-43D8-4709-B8D8-BAAE3B3A11DB}"/>
    <cellStyle name="40% - Accent6 2 3 7" xfId="4596" xr:uid="{00000000-0005-0000-0000-00001E070000}"/>
    <cellStyle name="40% - Accent6 2 3 7 2" xfId="13046" xr:uid="{F33E7B00-C3A4-485D-9D09-18FD8F999280}"/>
    <cellStyle name="40% - Accent6 2 3 8" xfId="8828" xr:uid="{68ECC6FD-D699-4F7E-9301-F91F6AE621A2}"/>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1B1B9B73-DDC3-4962-91E2-BAACD4DA5307}"/>
    <cellStyle name="40% - Accent6 2 4 2 3" xfId="11384" xr:uid="{26352D4D-E234-4501-A2EA-864356E87B13}"/>
    <cellStyle name="40% - Accent6 2 4 3" xfId="5007" xr:uid="{00000000-0005-0000-0000-000022070000}"/>
    <cellStyle name="40% - Accent6 2 4 3 2" xfId="13457" xr:uid="{3D9EBF7C-3110-4850-809D-28B57E5C1004}"/>
    <cellStyle name="40% - Accent6 2 4 4" xfId="9239" xr:uid="{8C28EE7D-A5C5-4364-9AB9-93451AE24782}"/>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2FEF8C6-6871-4919-97FD-324435C6D85F}"/>
    <cellStyle name="40% - Accent6 2 5 2 3" xfId="11797" xr:uid="{C5DD77DA-CD22-4EF2-8499-1EF995F3A3BE}"/>
    <cellStyle name="40% - Accent6 2 5 3" xfId="5420" xr:uid="{00000000-0005-0000-0000-000026070000}"/>
    <cellStyle name="40% - Accent6 2 5 3 2" xfId="13870" xr:uid="{8246F818-F2F6-42FD-8A78-E6F6AD267CD9}"/>
    <cellStyle name="40% - Accent6 2 5 4" xfId="9652" xr:uid="{10E7EED8-474C-49E7-9867-F5859698D08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ACE6DA3A-E19F-4863-B659-0D55F6F6B6DC}"/>
    <cellStyle name="40% - Accent6 2 6 2 3" xfId="12210" xr:uid="{C293BF01-A0D6-4F98-AEC5-7E991FFA3D33}"/>
    <cellStyle name="40% - Accent6 2 6 3" xfId="5833" xr:uid="{00000000-0005-0000-0000-00002A070000}"/>
    <cellStyle name="40% - Accent6 2 6 3 2" xfId="14283" xr:uid="{44E2596D-D658-4E95-BA0B-DCE7C022BB2C}"/>
    <cellStyle name="40% - Accent6 2 6 4" xfId="10065" xr:uid="{4CA368BA-823C-485E-9505-863D0ABB5DE5}"/>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71F2F999-9C9F-48EE-8894-2B1B0ACDF3CC}"/>
    <cellStyle name="40% - Accent6 2 7 2 3" xfId="12623" xr:uid="{AEB0D4DB-DD54-4F91-A136-762F30F4757E}"/>
    <cellStyle name="40% - Accent6 2 7 3" xfId="6246" xr:uid="{00000000-0005-0000-0000-00002E070000}"/>
    <cellStyle name="40% - Accent6 2 7 3 2" xfId="14696" xr:uid="{6CF4F876-54BD-4AFF-A9BB-805AF7374F77}"/>
    <cellStyle name="40% - Accent6 2 7 4" xfId="10478" xr:uid="{E7001F72-E693-4602-826E-D2014D765DA1}"/>
    <cellStyle name="40% - Accent6 2 8" xfId="2353" xr:uid="{00000000-0005-0000-0000-00002F070000}"/>
    <cellStyle name="40% - Accent6 2 8 2" xfId="6659" xr:uid="{00000000-0005-0000-0000-000030070000}"/>
    <cellStyle name="40% - Accent6 2 8 2 2" xfId="15109" xr:uid="{68913B7C-4348-4585-ACA0-2FC5D39EBC48}"/>
    <cellStyle name="40% - Accent6 2 8 3" xfId="10891" xr:uid="{2D3509AC-9467-42D7-9F06-DFCB7753046F}"/>
    <cellStyle name="40% - Accent6 2 9" xfId="4593" xr:uid="{00000000-0005-0000-0000-000031070000}"/>
    <cellStyle name="40% - Accent6 2 9 2" xfId="13043" xr:uid="{F2C2171A-4033-42FC-9E9B-1E0E38F5E7D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F2434C5A-9004-45D2-86A1-DE5B18FD827E}"/>
    <cellStyle name="40% - Accent6 3 2 2 2 3" xfId="11389" xr:uid="{8F332AC5-4B0A-4C2B-ABBA-01A1C8BFF99B}"/>
    <cellStyle name="40% - Accent6 3 2 2 3" xfId="5012" xr:uid="{00000000-0005-0000-0000-000037070000}"/>
    <cellStyle name="40% - Accent6 3 2 2 3 2" xfId="13462" xr:uid="{84CB9B70-3D26-4AA6-867C-1A30EA127C51}"/>
    <cellStyle name="40% - Accent6 3 2 2 4" xfId="9244" xr:uid="{AE459E58-3224-4FB4-BD59-2E8AD338523A}"/>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A78AEC8D-22B0-489F-B829-9E25DC11E60A}"/>
    <cellStyle name="40% - Accent6 3 2 3 2 3" xfId="11802" xr:uid="{433E54BA-5A36-414E-BFFD-3DD6939CE0FD}"/>
    <cellStyle name="40% - Accent6 3 2 3 3" xfId="5425" xr:uid="{00000000-0005-0000-0000-00003B070000}"/>
    <cellStyle name="40% - Accent6 3 2 3 3 2" xfId="13875" xr:uid="{311F6A36-5480-48B8-B80E-756CA86910B6}"/>
    <cellStyle name="40% - Accent6 3 2 3 4" xfId="9657" xr:uid="{FE9FDAC7-44E7-4071-A32E-68AEA0CBFF1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9EE2DB2A-FA0B-4C39-8036-45892DAFD9F9}"/>
    <cellStyle name="40% - Accent6 3 2 4 2 3" xfId="12215" xr:uid="{A68A1408-7C24-4A72-AACC-5E0C280C0265}"/>
    <cellStyle name="40% - Accent6 3 2 4 3" xfId="5838" xr:uid="{00000000-0005-0000-0000-00003F070000}"/>
    <cellStyle name="40% - Accent6 3 2 4 3 2" xfId="14288" xr:uid="{63922005-51F6-4BF2-B0A3-0EB9D52ABD7B}"/>
    <cellStyle name="40% - Accent6 3 2 4 4" xfId="10070" xr:uid="{46D59262-9D62-408F-8E96-D43137EBC9C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9ABB5668-0232-49E8-9D05-31320449E8F3}"/>
    <cellStyle name="40% - Accent6 3 2 5 2 3" xfId="12628" xr:uid="{7EB9FDB8-9777-4401-A5B1-CC1C937C08E3}"/>
    <cellStyle name="40% - Accent6 3 2 5 3" xfId="6251" xr:uid="{00000000-0005-0000-0000-000043070000}"/>
    <cellStyle name="40% - Accent6 3 2 5 3 2" xfId="14701" xr:uid="{B5E1D7DE-3D29-4DA1-AB29-7BA53BD96074}"/>
    <cellStyle name="40% - Accent6 3 2 5 4" xfId="10483" xr:uid="{2F234472-BE4B-492B-B9A3-AFFAFE2F988E}"/>
    <cellStyle name="40% - Accent6 3 2 6" xfId="2358" xr:uid="{00000000-0005-0000-0000-000044070000}"/>
    <cellStyle name="40% - Accent6 3 2 6 2" xfId="6664" xr:uid="{00000000-0005-0000-0000-000045070000}"/>
    <cellStyle name="40% - Accent6 3 2 6 2 2" xfId="15114" xr:uid="{74CB15CD-F0DE-4700-9E22-50AFF5175165}"/>
    <cellStyle name="40% - Accent6 3 2 6 3" xfId="10896" xr:uid="{B05EB615-3F15-4633-8583-EC3E4A50534B}"/>
    <cellStyle name="40% - Accent6 3 2 7" xfId="4598" xr:uid="{00000000-0005-0000-0000-000046070000}"/>
    <cellStyle name="40% - Accent6 3 2 7 2" xfId="13048" xr:uid="{9D24AAFC-3F3C-45E4-BCBA-9BAEBB2D87ED}"/>
    <cellStyle name="40% - Accent6 3 2 8" xfId="8830" xr:uid="{D9710E11-5D1E-455F-B86B-93FF4FD820BF}"/>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0A5D4455-1BC4-44C0-BEFE-93AE5E7400C7}"/>
    <cellStyle name="40% - Accent6 3 3 2 3" xfId="11388" xr:uid="{4EE92C26-FA12-488B-AC5B-F20F85948D19}"/>
    <cellStyle name="40% - Accent6 3 3 3" xfId="5011" xr:uid="{00000000-0005-0000-0000-00004A070000}"/>
    <cellStyle name="40% - Accent6 3 3 3 2" xfId="13461" xr:uid="{2A9D3F8E-309C-4593-B216-E5AF9C371FAB}"/>
    <cellStyle name="40% - Accent6 3 3 4" xfId="9243" xr:uid="{2759BCF1-FE89-4183-9E6A-7C98710D8D1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2936A8F9-DFB4-46DE-817F-6458619C73F1}"/>
    <cellStyle name="40% - Accent6 3 4 2 3" xfId="11801" xr:uid="{D475F5E0-A27A-400B-B15A-B0239E37468C}"/>
    <cellStyle name="40% - Accent6 3 4 3" xfId="5424" xr:uid="{00000000-0005-0000-0000-00004E070000}"/>
    <cellStyle name="40% - Accent6 3 4 3 2" xfId="13874" xr:uid="{A1D5183F-D336-4F2D-9C9F-B6BF2B51B0AB}"/>
    <cellStyle name="40% - Accent6 3 4 4" xfId="9656" xr:uid="{A84E555E-288D-48DE-9D77-9B5865BCCF5D}"/>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949F1722-2DB6-447A-9C7F-8B62DC2D0253}"/>
    <cellStyle name="40% - Accent6 3 5 2 3" xfId="12214" xr:uid="{B9C78EA6-D944-463E-987F-5C28C14D5DAF}"/>
    <cellStyle name="40% - Accent6 3 5 3" xfId="5837" xr:uid="{00000000-0005-0000-0000-000052070000}"/>
    <cellStyle name="40% - Accent6 3 5 3 2" xfId="14287" xr:uid="{F0E1652B-5133-4197-B344-70997A6A9B78}"/>
    <cellStyle name="40% - Accent6 3 5 4" xfId="10069" xr:uid="{AB50B580-2D53-4B61-B7E1-DFB3DD513DA2}"/>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B89670E2-A4E6-4A68-862A-A9F2AB34C5B3}"/>
    <cellStyle name="40% - Accent6 3 6 2 3" xfId="12627" xr:uid="{E9A56DD3-12FC-4931-87ED-B985842BE626}"/>
    <cellStyle name="40% - Accent6 3 6 3" xfId="6250" xr:uid="{00000000-0005-0000-0000-000056070000}"/>
    <cellStyle name="40% - Accent6 3 6 3 2" xfId="14700" xr:uid="{3D5BD82A-8398-407D-BD93-3CCD2C129B52}"/>
    <cellStyle name="40% - Accent6 3 6 4" xfId="10482" xr:uid="{EB85BFA0-0620-4E7F-912F-40E061F55B49}"/>
    <cellStyle name="40% - Accent6 3 7" xfId="2357" xr:uid="{00000000-0005-0000-0000-000057070000}"/>
    <cellStyle name="40% - Accent6 3 7 2" xfId="6663" xr:uid="{00000000-0005-0000-0000-000058070000}"/>
    <cellStyle name="40% - Accent6 3 7 2 2" xfId="15113" xr:uid="{E7926D0D-2915-4503-B6EF-CD37B4DC483B}"/>
    <cellStyle name="40% - Accent6 3 7 3" xfId="10895" xr:uid="{AE2474E6-EC88-466C-A212-9ADC3DDA7B49}"/>
    <cellStyle name="40% - Accent6 3 8" xfId="4597" xr:uid="{00000000-0005-0000-0000-000059070000}"/>
    <cellStyle name="40% - Accent6 3 8 2" xfId="13047" xr:uid="{CCD931E9-EEC4-4D25-8936-698E2CA69154}"/>
    <cellStyle name="40% - Accent6 3 9" xfId="8829" xr:uid="{865C23E6-C3DE-4673-9A84-FBEAE817950F}"/>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93F68371-6FC3-4103-A156-3DA9AD235440}"/>
    <cellStyle name="40% - Accent6 4 2 2 3" xfId="11390" xr:uid="{BEABF5AB-1E6A-4846-8B08-EE36D6EE2414}"/>
    <cellStyle name="40% - Accent6 4 2 3" xfId="5013" xr:uid="{00000000-0005-0000-0000-00005E070000}"/>
    <cellStyle name="40% - Accent6 4 2 3 2" xfId="13463" xr:uid="{F32E9B88-93D5-4F91-A09F-BC9DEA38F8C4}"/>
    <cellStyle name="40% - Accent6 4 2 4" xfId="9245" xr:uid="{BCA8F474-278E-4A11-BE03-007C4308D4FC}"/>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EE424D24-751B-4C7A-8E3C-3EF569736C78}"/>
    <cellStyle name="40% - Accent6 4 3 2 3" xfId="11803" xr:uid="{10A082E9-C658-4991-9057-6DF8549F27CD}"/>
    <cellStyle name="40% - Accent6 4 3 3" xfId="5426" xr:uid="{00000000-0005-0000-0000-000062070000}"/>
    <cellStyle name="40% - Accent6 4 3 3 2" xfId="13876" xr:uid="{9D950A5A-7CC2-4938-9D2B-5BB75E5555D4}"/>
    <cellStyle name="40% - Accent6 4 3 4" xfId="9658" xr:uid="{0B80CF71-D606-447C-A0C0-7A9F3B8AF9E6}"/>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84CBA812-B20C-4EDF-AFCA-0A2B4EF021AA}"/>
    <cellStyle name="40% - Accent6 4 4 2 3" xfId="12216" xr:uid="{3E3EC9D3-5704-46FB-966B-631E57446B99}"/>
    <cellStyle name="40% - Accent6 4 4 3" xfId="5839" xr:uid="{00000000-0005-0000-0000-000066070000}"/>
    <cellStyle name="40% - Accent6 4 4 3 2" xfId="14289" xr:uid="{A636DD43-AABA-48B6-824C-82F61F365F90}"/>
    <cellStyle name="40% - Accent6 4 4 4" xfId="10071" xr:uid="{77FDA549-BBE9-443D-8CF9-BBE5D9949171}"/>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6718A3D-F612-4E86-AD28-08C294D98301}"/>
    <cellStyle name="40% - Accent6 4 5 2 3" xfId="12629" xr:uid="{6497EEA2-2855-4AA6-B75F-667164301B9F}"/>
    <cellStyle name="40% - Accent6 4 5 3" xfId="6252" xr:uid="{00000000-0005-0000-0000-00006A070000}"/>
    <cellStyle name="40% - Accent6 4 5 3 2" xfId="14702" xr:uid="{5F115601-4986-4AE7-9527-6FCE15F39082}"/>
    <cellStyle name="40% - Accent6 4 5 4" xfId="10484" xr:uid="{5F7846CF-F6EF-4A44-8C21-8BAB6C8F248E}"/>
    <cellStyle name="40% - Accent6 4 6" xfId="2359" xr:uid="{00000000-0005-0000-0000-00006B070000}"/>
    <cellStyle name="40% - Accent6 4 6 2" xfId="6665" xr:uid="{00000000-0005-0000-0000-00006C070000}"/>
    <cellStyle name="40% - Accent6 4 6 2 2" xfId="15115" xr:uid="{A6508E3C-D863-4762-B72E-165E9E94F603}"/>
    <cellStyle name="40% - Accent6 4 6 3" xfId="10897" xr:uid="{4AC9127F-D36E-4477-8AC3-A15E8B6EC9AB}"/>
    <cellStyle name="40% - Accent6 4 7" xfId="4599" xr:uid="{00000000-0005-0000-0000-00006D070000}"/>
    <cellStyle name="40% - Accent6 4 7 2" xfId="13049" xr:uid="{F7215D17-8720-49FD-9C12-52E15D2AA01C}"/>
    <cellStyle name="40% - Accent6 4 8" xfId="8831" xr:uid="{73D01BCD-62B9-4FBC-85B6-847811A02776}"/>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1B5FCEE6-B3F9-4715-956E-9DBD6ADF786E}"/>
    <cellStyle name="40% - Accent6 5 2 3" xfId="11383" xr:uid="{073EEA59-E653-42F6-A0AC-46596702098C}"/>
    <cellStyle name="40% - Accent6 5 3" xfId="5006" xr:uid="{00000000-0005-0000-0000-000071070000}"/>
    <cellStyle name="40% - Accent6 5 3 2" xfId="13456" xr:uid="{76702F9A-EEBA-41D1-A0D2-A55810A87815}"/>
    <cellStyle name="40% - Accent6 5 4" xfId="9238" xr:uid="{2C9E56F6-AD8E-4318-A1C1-0A005555527B}"/>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516331B0-663B-4A46-845B-E8884CAEB274}"/>
    <cellStyle name="40% - Accent6 6 2 3" xfId="11796" xr:uid="{9955EDB2-492F-4D50-9EE2-75D9D24E0E99}"/>
    <cellStyle name="40% - Accent6 6 3" xfId="5419" xr:uid="{00000000-0005-0000-0000-000075070000}"/>
    <cellStyle name="40% - Accent6 6 3 2" xfId="13869" xr:uid="{9B7506BF-6F82-42F1-A183-06F4CC467640}"/>
    <cellStyle name="40% - Accent6 6 4" xfId="9651" xr:uid="{0F33EDB1-7651-4B2B-A1A8-AA03BEA58D38}"/>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308EAF73-98A0-4410-8658-FA2CEB36ADE5}"/>
    <cellStyle name="40% - Accent6 7 2 3" xfId="12209" xr:uid="{754F8A2C-F342-484D-8328-C460FB44E8CB}"/>
    <cellStyle name="40% - Accent6 7 3" xfId="5832" xr:uid="{00000000-0005-0000-0000-000079070000}"/>
    <cellStyle name="40% - Accent6 7 3 2" xfId="14282" xr:uid="{F7F57B51-421E-428C-8F9E-607EB1D22B0A}"/>
    <cellStyle name="40% - Accent6 7 4" xfId="10064" xr:uid="{A8409E02-72B4-4105-B03E-61F3D49AF107}"/>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6A519AD8-CC22-4CDB-A098-CAF36CBB0623}"/>
    <cellStyle name="40% - Accent6 8 2 3" xfId="12622" xr:uid="{45C59CC1-DA2A-43B0-98A6-AE0F85867241}"/>
    <cellStyle name="40% - Accent6 8 3" xfId="6245" xr:uid="{00000000-0005-0000-0000-00007D070000}"/>
    <cellStyle name="40% - Accent6 8 3 2" xfId="14695" xr:uid="{A381A894-B518-4689-80DE-CB50FB9E9311}"/>
    <cellStyle name="40% - Accent6 8 4" xfId="10477" xr:uid="{EE8B1FAD-68C0-42BA-AF95-080E2875003E}"/>
    <cellStyle name="40% - Accent6 9" xfId="2352" xr:uid="{00000000-0005-0000-0000-00007E070000}"/>
    <cellStyle name="40% - Accent6 9 2" xfId="6658" xr:uid="{00000000-0005-0000-0000-00007F070000}"/>
    <cellStyle name="40% - Accent6 9 2 2" xfId="15108" xr:uid="{314382A1-C2E0-4E49-A70D-A2F4EC986379}"/>
    <cellStyle name="40% - Accent6 9 3" xfId="10890" xr:uid="{3A6790D4-0721-4562-BD31-A1BB94DC6F2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D3D569C3-7C88-49CB-9D5A-183F40C97B70}"/>
    <cellStyle name="Comma 4 2 2 2 10 3" xfId="11215" xr:uid="{B8EB27C2-2F62-4BC1-80DA-DCA17EBA9BEA}"/>
    <cellStyle name="Comma 4 2 2 2 11" xfId="4600" xr:uid="{00000000-0005-0000-0000-0000A3070000}"/>
    <cellStyle name="Comma 4 2 2 2 11 2" xfId="13050" xr:uid="{866B7E4F-DC58-4FF6-B893-4787F38FDCB2}"/>
    <cellStyle name="Comma 4 2 2 2 12" xfId="8832" xr:uid="{659FE100-27D6-4450-A3B7-ED97B751E082}"/>
    <cellStyle name="Comma 4 2 2 2 2" xfId="129" xr:uid="{00000000-0005-0000-0000-0000A4070000}"/>
    <cellStyle name="Comma 4 2 2 2 2 10" xfId="4601" xr:uid="{00000000-0005-0000-0000-0000A5070000}"/>
    <cellStyle name="Comma 4 2 2 2 2 10 2" xfId="13051" xr:uid="{3A0E5B9D-3BAF-4394-BCCC-8A6E2C83AF88}"/>
    <cellStyle name="Comma 4 2 2 2 2 11" xfId="8833" xr:uid="{6645082A-5E8A-4DBD-BD2F-DD5C4B9164D2}"/>
    <cellStyle name="Comma 4 2 2 2 2 2" xfId="130" xr:uid="{00000000-0005-0000-0000-0000A6070000}"/>
    <cellStyle name="Comma 4 2 2 2 2 2 10" xfId="8834" xr:uid="{C253100C-4956-455A-A1CA-000DDD1E1757}"/>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CCAB6168-1D24-4584-A357-D0DE90EBE383}"/>
    <cellStyle name="Comma 4 2 2 2 2 2 2 2 3" xfId="11393" xr:uid="{32F1436E-4466-41A4-B7C4-43578EDE0D23}"/>
    <cellStyle name="Comma 4 2 2 2 2 2 2 3" xfId="5016" xr:uid="{00000000-0005-0000-0000-0000AA070000}"/>
    <cellStyle name="Comma 4 2 2 2 2 2 2 3 2" xfId="13466" xr:uid="{83A857CE-2A3A-486C-8C5F-5BF1CDBC1C43}"/>
    <cellStyle name="Comma 4 2 2 2 2 2 2 4" xfId="9248" xr:uid="{25942AD7-7CE9-4EE6-962C-4F3BE2AFDD7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FBA698A5-46E0-4432-95A9-04DF801948ED}"/>
    <cellStyle name="Comma 4 2 2 2 2 2 3 2 3" xfId="11806" xr:uid="{0E0304A6-0135-4BF1-BF38-98B956FCA6A4}"/>
    <cellStyle name="Comma 4 2 2 2 2 2 3 3" xfId="5429" xr:uid="{00000000-0005-0000-0000-0000AE070000}"/>
    <cellStyle name="Comma 4 2 2 2 2 2 3 3 2" xfId="13879" xr:uid="{FDD2453E-FDB5-4898-AE98-BB2DB148D3F0}"/>
    <cellStyle name="Comma 4 2 2 2 2 2 3 4" xfId="9661" xr:uid="{F18DA861-1575-4250-A59D-AB644EB632F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BC204901-4C97-4578-A1B4-733D95D5838E}"/>
    <cellStyle name="Comma 4 2 2 2 2 2 4 2 3" xfId="12219" xr:uid="{36469646-EACD-4529-A0E9-C62265883C4D}"/>
    <cellStyle name="Comma 4 2 2 2 2 2 4 3" xfId="5842" xr:uid="{00000000-0005-0000-0000-0000B2070000}"/>
    <cellStyle name="Comma 4 2 2 2 2 2 4 3 2" xfId="14292" xr:uid="{7BC32237-F057-442C-8EEB-FD66F7836E41}"/>
    <cellStyle name="Comma 4 2 2 2 2 2 4 4" xfId="10074" xr:uid="{F8211806-FA65-42F7-983E-4608C88D1E87}"/>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B4CE5B89-3CDE-486F-9468-074DBA25D941}"/>
    <cellStyle name="Comma 4 2 2 2 2 2 5 2 3" xfId="12632" xr:uid="{63EFEDF1-B36A-4D09-878C-2370258FB905}"/>
    <cellStyle name="Comma 4 2 2 2 2 2 5 3" xfId="6255" xr:uid="{00000000-0005-0000-0000-0000B6070000}"/>
    <cellStyle name="Comma 4 2 2 2 2 2 5 3 2" xfId="14705" xr:uid="{4219D4DD-EEBD-4762-9A70-6D2B3896375A}"/>
    <cellStyle name="Comma 4 2 2 2 2 2 5 4" xfId="10487" xr:uid="{136CF685-8206-46AC-B442-1B54369270EC}"/>
    <cellStyle name="Comma 4 2 2 2 2 2 6" xfId="2384" xr:uid="{00000000-0005-0000-0000-0000B7070000}"/>
    <cellStyle name="Comma 4 2 2 2 2 2 6 2" xfId="6668" xr:uid="{00000000-0005-0000-0000-0000B8070000}"/>
    <cellStyle name="Comma 4 2 2 2 2 2 6 2 2" xfId="15118" xr:uid="{08AB92E0-C950-4313-98A3-05767F2EC38C}"/>
    <cellStyle name="Comma 4 2 2 2 2 2 6 3" xfId="10900" xr:uid="{DACC164A-6589-4E88-AA34-E6AC709929F6}"/>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806DD1B3-D12F-4D7B-8334-C0E361304EF2}"/>
    <cellStyle name="Comma 4 2 2 2 2 2 8 3" xfId="11217" xr:uid="{6E9C8DFB-16F7-4F8B-B744-2C0F69628D69}"/>
    <cellStyle name="Comma 4 2 2 2 2 2 9" xfId="4602" xr:uid="{00000000-0005-0000-0000-0000BC070000}"/>
    <cellStyle name="Comma 4 2 2 2 2 2 9 2" xfId="13052" xr:uid="{E6462CC7-EE2D-4D70-AC2A-CF628FCBEA8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C97BE52A-B287-43A7-BA71-F6E1B4D95213}"/>
    <cellStyle name="Comma 4 2 2 2 2 3 2 3" xfId="11392" xr:uid="{8A613C42-2772-414F-9F2E-BE6B7890682A}"/>
    <cellStyle name="Comma 4 2 2 2 2 3 3" xfId="5015" xr:uid="{00000000-0005-0000-0000-0000C0070000}"/>
    <cellStyle name="Comma 4 2 2 2 2 3 3 2" xfId="13465" xr:uid="{5EB9C1EC-D075-4BA8-8AF9-F1B1E1FC596F}"/>
    <cellStyle name="Comma 4 2 2 2 2 3 4" xfId="9247" xr:uid="{2CF98452-0225-429E-9FE1-D600FF66B88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DC1874D8-C00E-4EBF-ABBF-33A8069EC2A1}"/>
    <cellStyle name="Comma 4 2 2 2 2 4 2 3" xfId="11805" xr:uid="{066B7796-785A-4C60-843A-A38B04D6E4E3}"/>
    <cellStyle name="Comma 4 2 2 2 2 4 3" xfId="5428" xr:uid="{00000000-0005-0000-0000-0000C4070000}"/>
    <cellStyle name="Comma 4 2 2 2 2 4 3 2" xfId="13878" xr:uid="{5B3EE0E8-B434-4DCD-AEB8-91ED236D27D7}"/>
    <cellStyle name="Comma 4 2 2 2 2 4 4" xfId="9660" xr:uid="{E86F721D-74A8-4D20-8742-EE49FFDC4F1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623C5FC9-CAFC-412D-9788-36048A056C75}"/>
    <cellStyle name="Comma 4 2 2 2 2 5 2 3" xfId="12218" xr:uid="{D642A8A9-26B4-4EDE-8F4E-2B26375D3F24}"/>
    <cellStyle name="Comma 4 2 2 2 2 5 3" xfId="5841" xr:uid="{00000000-0005-0000-0000-0000C8070000}"/>
    <cellStyle name="Comma 4 2 2 2 2 5 3 2" xfId="14291" xr:uid="{35269AF7-A154-4451-B2EF-26C1C3538A26}"/>
    <cellStyle name="Comma 4 2 2 2 2 5 4" xfId="10073" xr:uid="{4C3CD268-F55E-4E62-A584-D642C2D63636}"/>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2AF7E6B1-C580-4659-828D-E2DD939F5687}"/>
    <cellStyle name="Comma 4 2 2 2 2 6 2 3" xfId="12631" xr:uid="{FF578F9C-1B3B-4653-8885-5BBF767FF7CB}"/>
    <cellStyle name="Comma 4 2 2 2 2 6 3" xfId="6254" xr:uid="{00000000-0005-0000-0000-0000CC070000}"/>
    <cellStyle name="Comma 4 2 2 2 2 6 3 2" xfId="14704" xr:uid="{0D2D7410-FD5A-4CFF-A445-72F1D26E3C97}"/>
    <cellStyle name="Comma 4 2 2 2 2 6 4" xfId="10486" xr:uid="{E06D36B0-D0E0-42C2-9D01-B4B540AAAE26}"/>
    <cellStyle name="Comma 4 2 2 2 2 7" xfId="2383" xr:uid="{00000000-0005-0000-0000-0000CD070000}"/>
    <cellStyle name="Comma 4 2 2 2 2 7 2" xfId="6667" xr:uid="{00000000-0005-0000-0000-0000CE070000}"/>
    <cellStyle name="Comma 4 2 2 2 2 7 2 2" xfId="15117" xr:uid="{BAD5825A-A3D7-44C2-A931-0DDE7DBB9BB7}"/>
    <cellStyle name="Comma 4 2 2 2 2 7 3" xfId="10899" xr:uid="{E47227DE-6C27-4B8D-A411-58E034FC881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5CB5977B-31CF-4338-B8BD-CD90F902B5F6}"/>
    <cellStyle name="Comma 4 2 2 2 2 9 3" xfId="11216" xr:uid="{5CD17FCE-59A1-4FB7-84AB-73FCCAAF2F7F}"/>
    <cellStyle name="Comma 4 2 2 2 3" xfId="131" xr:uid="{00000000-0005-0000-0000-0000D2070000}"/>
    <cellStyle name="Comma 4 2 2 2 3 10" xfId="8835" xr:uid="{4BCAAA41-25A0-4158-B3D3-7DDB1D53CF6C}"/>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7994071E-9FC2-4429-BD8B-03CAAA05F189}"/>
    <cellStyle name="Comma 4 2 2 2 3 2 2 3" xfId="11394" xr:uid="{84D4C490-AE77-4323-BF7F-6E6D56E30523}"/>
    <cellStyle name="Comma 4 2 2 2 3 2 3" xfId="5017" xr:uid="{00000000-0005-0000-0000-0000D6070000}"/>
    <cellStyle name="Comma 4 2 2 2 3 2 3 2" xfId="13467" xr:uid="{3E3BDE3A-44D6-4AC2-B6AD-C89596AAEF0A}"/>
    <cellStyle name="Comma 4 2 2 2 3 2 4" xfId="9249" xr:uid="{267199DB-2330-4EA4-80C6-5EC03292B3B5}"/>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4AD0AC06-23DC-4BEF-BB20-BA7BE7D16A74}"/>
    <cellStyle name="Comma 4 2 2 2 3 3 2 3" xfId="11807" xr:uid="{3C65C31A-5DE5-4DFC-BADC-39AE533FE3F3}"/>
    <cellStyle name="Comma 4 2 2 2 3 3 3" xfId="5430" xr:uid="{00000000-0005-0000-0000-0000DA070000}"/>
    <cellStyle name="Comma 4 2 2 2 3 3 3 2" xfId="13880" xr:uid="{5706A9A1-C4DD-4125-A3FD-0EF6E3B51028}"/>
    <cellStyle name="Comma 4 2 2 2 3 3 4" xfId="9662" xr:uid="{50FFF7F4-3CAD-4281-B6CC-36E9AF649647}"/>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A032AF78-E6F9-42C9-92B1-E88DA0F01173}"/>
    <cellStyle name="Comma 4 2 2 2 3 4 2 3" xfId="12220" xr:uid="{D8933D54-24F4-4CCA-A546-71B0D6F4B2B7}"/>
    <cellStyle name="Comma 4 2 2 2 3 4 3" xfId="5843" xr:uid="{00000000-0005-0000-0000-0000DE070000}"/>
    <cellStyle name="Comma 4 2 2 2 3 4 3 2" xfId="14293" xr:uid="{C6DC0375-B83B-45E5-B815-72C0EE7AFA85}"/>
    <cellStyle name="Comma 4 2 2 2 3 4 4" xfId="10075" xr:uid="{21AF6FA1-1A15-415E-AC88-0A6AC17BA95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38FA516B-45B1-42DA-9FC2-A67DA1F61AEB}"/>
    <cellStyle name="Comma 4 2 2 2 3 5 2 3" xfId="12633" xr:uid="{63C17217-E8D6-452D-9843-24ED8022E0F4}"/>
    <cellStyle name="Comma 4 2 2 2 3 5 3" xfId="6256" xr:uid="{00000000-0005-0000-0000-0000E2070000}"/>
    <cellStyle name="Comma 4 2 2 2 3 5 3 2" xfId="14706" xr:uid="{E212FCC7-C3C9-4D2C-A04B-20A0343EC476}"/>
    <cellStyle name="Comma 4 2 2 2 3 5 4" xfId="10488" xr:uid="{8FF7A57B-5AD5-43A9-8B83-4635FEF0273F}"/>
    <cellStyle name="Comma 4 2 2 2 3 6" xfId="2385" xr:uid="{00000000-0005-0000-0000-0000E3070000}"/>
    <cellStyle name="Comma 4 2 2 2 3 6 2" xfId="6669" xr:uid="{00000000-0005-0000-0000-0000E4070000}"/>
    <cellStyle name="Comma 4 2 2 2 3 6 2 2" xfId="15119" xr:uid="{24AECA55-4FAE-43B9-8338-6E857E9664ED}"/>
    <cellStyle name="Comma 4 2 2 2 3 6 3" xfId="10901" xr:uid="{D0268189-ED26-4F35-8A57-A5A552544032}"/>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B4EAB8CF-8C21-42F6-945A-AAD042D0C348}"/>
    <cellStyle name="Comma 4 2 2 2 3 8 3" xfId="11218" xr:uid="{320AE530-B2D0-4D8B-AF69-6BE1F8CCA5F7}"/>
    <cellStyle name="Comma 4 2 2 2 3 9" xfId="4603" xr:uid="{00000000-0005-0000-0000-0000E8070000}"/>
    <cellStyle name="Comma 4 2 2 2 3 9 2" xfId="13053" xr:uid="{F7C510FF-99AA-4F8E-8184-B7F15B702854}"/>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AB7BFBC5-6032-468A-BDC0-FC995352B4A5}"/>
    <cellStyle name="Comma 4 2 2 2 4 2 3" xfId="11391" xr:uid="{382B59EA-8D26-4C44-A0EC-3B6EA7871555}"/>
    <cellStyle name="Comma 4 2 2 2 4 3" xfId="5014" xr:uid="{00000000-0005-0000-0000-0000EC070000}"/>
    <cellStyle name="Comma 4 2 2 2 4 3 2" xfId="13464" xr:uid="{BF17158F-CDFA-4D76-B38B-3BDCBD1070C5}"/>
    <cellStyle name="Comma 4 2 2 2 4 4" xfId="9246" xr:uid="{7D284EDA-CC02-4BBE-84C5-F98590868AD7}"/>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2DDB14EC-1593-49A8-B058-5544D11E008E}"/>
    <cellStyle name="Comma 4 2 2 2 5 2 3" xfId="11804" xr:uid="{669F5CF1-FA85-4EB4-887E-24B54AFDB878}"/>
    <cellStyle name="Comma 4 2 2 2 5 3" xfId="5427" xr:uid="{00000000-0005-0000-0000-0000F0070000}"/>
    <cellStyle name="Comma 4 2 2 2 5 3 2" xfId="13877" xr:uid="{FB3A3AAC-B365-4D83-AC3E-65CE954D6D78}"/>
    <cellStyle name="Comma 4 2 2 2 5 4" xfId="9659" xr:uid="{5BF778DD-7902-450B-86AD-A4DB1DFEB0F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B1D7BB0D-531F-4462-B605-AF7F54422C2A}"/>
    <cellStyle name="Comma 4 2 2 2 6 2 3" xfId="12217" xr:uid="{C01AF352-5F1B-450C-AF10-E42DF925EB1C}"/>
    <cellStyle name="Comma 4 2 2 2 6 3" xfId="5840" xr:uid="{00000000-0005-0000-0000-0000F4070000}"/>
    <cellStyle name="Comma 4 2 2 2 6 3 2" xfId="14290" xr:uid="{90D3877E-2DA8-4F6D-A2E7-80A2EBEF4D58}"/>
    <cellStyle name="Comma 4 2 2 2 6 4" xfId="10072" xr:uid="{99216C2E-B4FF-4167-BD6D-E589A42036E5}"/>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345247C1-B8DE-41DA-BD7D-448CFD7DDFD7}"/>
    <cellStyle name="Comma 4 2 2 2 7 2 3" xfId="12630" xr:uid="{DB96D9F9-1134-4888-B45E-920E51FF1F8D}"/>
    <cellStyle name="Comma 4 2 2 2 7 3" xfId="6253" xr:uid="{00000000-0005-0000-0000-0000F8070000}"/>
    <cellStyle name="Comma 4 2 2 2 7 3 2" xfId="14703" xr:uid="{6A8C5274-25C5-4C57-AEA1-7D7BA5068F77}"/>
    <cellStyle name="Comma 4 2 2 2 7 4" xfId="10485" xr:uid="{EA101B6B-0926-443D-BFEC-B1842380FC01}"/>
    <cellStyle name="Comma 4 2 2 2 8" xfId="2382" xr:uid="{00000000-0005-0000-0000-0000F9070000}"/>
    <cellStyle name="Comma 4 2 2 2 8 2" xfId="6666" xr:uid="{00000000-0005-0000-0000-0000FA070000}"/>
    <cellStyle name="Comma 4 2 2 2 8 2 2" xfId="15116" xr:uid="{C0A6C27D-B562-4140-897B-E6C17E863409}"/>
    <cellStyle name="Comma 4 2 2 2 8 3" xfId="10898" xr:uid="{C3081FC4-64AB-46D1-84E3-4E59D73257E9}"/>
    <cellStyle name="Comma 4 2 2 2 9" xfId="2381" xr:uid="{00000000-0005-0000-0000-0000FB070000}"/>
    <cellStyle name="Comma 4 2 2 3" xfId="132" xr:uid="{00000000-0005-0000-0000-0000FC070000}"/>
    <cellStyle name="Comma 4 2 2 3 10" xfId="4604" xr:uid="{00000000-0005-0000-0000-0000FD070000}"/>
    <cellStyle name="Comma 4 2 2 3 10 2" xfId="13054" xr:uid="{B0FEBE1A-97CA-4864-BD8C-786B806F3FAA}"/>
    <cellStyle name="Comma 4 2 2 3 11" xfId="8836" xr:uid="{51C86069-997B-48C1-91D5-7336F466E7C3}"/>
    <cellStyle name="Comma 4 2 2 3 2" xfId="133" xr:uid="{00000000-0005-0000-0000-0000FE070000}"/>
    <cellStyle name="Comma 4 2 2 3 2 10" xfId="8837" xr:uid="{3C56A098-06AF-47C2-ABE8-A1793573743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5B91D8DE-2BEC-421D-8C13-0A301387A2F2}"/>
    <cellStyle name="Comma 4 2 2 3 2 2 2 3" xfId="11396" xr:uid="{B38C4212-B12A-4755-B5E0-DA5E7ADB93FC}"/>
    <cellStyle name="Comma 4 2 2 3 2 2 3" xfId="5019" xr:uid="{00000000-0005-0000-0000-000002080000}"/>
    <cellStyle name="Comma 4 2 2 3 2 2 3 2" xfId="13469" xr:uid="{4644CA7B-95C7-4268-A90E-004BF375AB3A}"/>
    <cellStyle name="Comma 4 2 2 3 2 2 4" xfId="9251" xr:uid="{927DE6E8-5678-451C-92BD-861ADD0692B6}"/>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EE7D777C-A8D0-49A7-8A90-117F92B5AFBD}"/>
    <cellStyle name="Comma 4 2 2 3 2 3 2 3" xfId="11809" xr:uid="{E782F88F-CC7B-471D-B5EC-8F1EDDD14279}"/>
    <cellStyle name="Comma 4 2 2 3 2 3 3" xfId="5432" xr:uid="{00000000-0005-0000-0000-000006080000}"/>
    <cellStyle name="Comma 4 2 2 3 2 3 3 2" xfId="13882" xr:uid="{306EA7CB-1B68-4D40-9BCD-A4510A554E7B}"/>
    <cellStyle name="Comma 4 2 2 3 2 3 4" xfId="9664" xr:uid="{6A23F435-A2C1-4773-933F-16D421D6BB91}"/>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49D27EB5-0043-4B91-BDBF-67BA2250897B}"/>
    <cellStyle name="Comma 4 2 2 3 2 4 2 3" xfId="12222" xr:uid="{C0344CD6-7619-4ED1-916B-57AD89116CE5}"/>
    <cellStyle name="Comma 4 2 2 3 2 4 3" xfId="5845" xr:uid="{00000000-0005-0000-0000-00000A080000}"/>
    <cellStyle name="Comma 4 2 2 3 2 4 3 2" xfId="14295" xr:uid="{71ECE6CE-E0AA-412C-9F9C-A1773E50CF7B}"/>
    <cellStyle name="Comma 4 2 2 3 2 4 4" xfId="10077" xr:uid="{F47F8E5F-49D9-4CFD-BBFC-BF6EA2101E9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BC165977-A15A-4982-83AC-6C46A92ACBE8}"/>
    <cellStyle name="Comma 4 2 2 3 2 5 2 3" xfId="12635" xr:uid="{B1F3C98E-885C-4B5B-83B2-52888D7956E3}"/>
    <cellStyle name="Comma 4 2 2 3 2 5 3" xfId="6258" xr:uid="{00000000-0005-0000-0000-00000E080000}"/>
    <cellStyle name="Comma 4 2 2 3 2 5 3 2" xfId="14708" xr:uid="{D9B8EFC3-AFB1-4CDB-8A76-8571BD9B383D}"/>
    <cellStyle name="Comma 4 2 2 3 2 5 4" xfId="10490" xr:uid="{B649D1C2-551F-40E5-A29D-EAEFD18483F9}"/>
    <cellStyle name="Comma 4 2 2 3 2 6" xfId="2387" xr:uid="{00000000-0005-0000-0000-00000F080000}"/>
    <cellStyle name="Comma 4 2 2 3 2 6 2" xfId="6671" xr:uid="{00000000-0005-0000-0000-000010080000}"/>
    <cellStyle name="Comma 4 2 2 3 2 6 2 2" xfId="15121" xr:uid="{5ACE628C-5B38-4402-BC18-96F3F6CF3E29}"/>
    <cellStyle name="Comma 4 2 2 3 2 6 3" xfId="10903" xr:uid="{26FF7D66-3AEA-47A0-B9E1-CEA03D2298FA}"/>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4687D04A-A9F5-4447-9DA3-31FBB2577109}"/>
    <cellStyle name="Comma 4 2 2 3 2 8 3" xfId="11220" xr:uid="{0FC71EF2-DFA5-4C40-BBA3-25FA0B200E3C}"/>
    <cellStyle name="Comma 4 2 2 3 2 9" xfId="4605" xr:uid="{00000000-0005-0000-0000-000014080000}"/>
    <cellStyle name="Comma 4 2 2 3 2 9 2" xfId="13055" xr:uid="{94623643-28C3-4303-A682-F0DF6953A9DF}"/>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04660C05-54D1-44B5-8DBF-22C2DCF1F6EC}"/>
    <cellStyle name="Comma 4 2 2 3 3 2 3" xfId="11395" xr:uid="{664F72DB-C640-4611-8907-5E85B99CB858}"/>
    <cellStyle name="Comma 4 2 2 3 3 3" xfId="5018" xr:uid="{00000000-0005-0000-0000-000018080000}"/>
    <cellStyle name="Comma 4 2 2 3 3 3 2" xfId="13468" xr:uid="{E0B2BFB3-0457-480E-9D54-69183CB7178E}"/>
    <cellStyle name="Comma 4 2 2 3 3 4" xfId="9250" xr:uid="{03E26558-7504-4555-9518-A0C8FCF4280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34D721A1-92EE-4EF5-8462-97F42801961A}"/>
    <cellStyle name="Comma 4 2 2 3 4 2 3" xfId="11808" xr:uid="{23B9D7EE-0CBA-4917-9CDC-EE6D81FA41DB}"/>
    <cellStyle name="Comma 4 2 2 3 4 3" xfId="5431" xr:uid="{00000000-0005-0000-0000-00001C080000}"/>
    <cellStyle name="Comma 4 2 2 3 4 3 2" xfId="13881" xr:uid="{3C62C08F-90D3-41C8-96C1-96DA31591205}"/>
    <cellStyle name="Comma 4 2 2 3 4 4" xfId="9663" xr:uid="{E71E492F-70F3-40F7-9973-B1C6ED5F25AD}"/>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DE519F6A-4C65-48D0-AF13-4171D8E99E79}"/>
    <cellStyle name="Comma 4 2 2 3 5 2 3" xfId="12221" xr:uid="{B260D209-A233-4232-A123-DE96A7216F22}"/>
    <cellStyle name="Comma 4 2 2 3 5 3" xfId="5844" xr:uid="{00000000-0005-0000-0000-000020080000}"/>
    <cellStyle name="Comma 4 2 2 3 5 3 2" xfId="14294" xr:uid="{DD1618CD-84BA-4011-8D97-A553CA0D067E}"/>
    <cellStyle name="Comma 4 2 2 3 5 4" xfId="10076" xr:uid="{CE815F3A-4D2B-4B55-9005-60264C75C0C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98267F6A-71C9-423B-AD0B-9F1F4BF3441E}"/>
    <cellStyle name="Comma 4 2 2 3 6 2 3" xfId="12634" xr:uid="{C9025A47-BC32-45AD-B845-2018BFDB8782}"/>
    <cellStyle name="Comma 4 2 2 3 6 3" xfId="6257" xr:uid="{00000000-0005-0000-0000-000024080000}"/>
    <cellStyle name="Comma 4 2 2 3 6 3 2" xfId="14707" xr:uid="{F52E6CA3-6B48-42CE-BFF4-970B5F2E8501}"/>
    <cellStyle name="Comma 4 2 2 3 6 4" xfId="10489" xr:uid="{0C6854AF-E8E7-4719-B35F-058940FAE734}"/>
    <cellStyle name="Comma 4 2 2 3 7" xfId="2386" xr:uid="{00000000-0005-0000-0000-000025080000}"/>
    <cellStyle name="Comma 4 2 2 3 7 2" xfId="6670" xr:uid="{00000000-0005-0000-0000-000026080000}"/>
    <cellStyle name="Comma 4 2 2 3 7 2 2" xfId="15120" xr:uid="{35D10D66-8FF6-4D01-8394-62CD3A92992D}"/>
    <cellStyle name="Comma 4 2 2 3 7 3" xfId="10902" xr:uid="{5DED387B-10DF-4953-9A72-3E6A8C94CE15}"/>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931BBB71-179A-423E-947A-BA376CCE50A1}"/>
    <cellStyle name="Comma 4 2 2 3 9 3" xfId="11219" xr:uid="{6484AA98-B608-4ABF-BD89-2DDB62628A3B}"/>
    <cellStyle name="Comma 4 2 2 4" xfId="134" xr:uid="{00000000-0005-0000-0000-00002A080000}"/>
    <cellStyle name="Comma 4 2 2 4 10" xfId="8838" xr:uid="{9499D244-AE79-457C-8349-F77791C6C0A3}"/>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D92CC374-BC87-4E1F-ABD0-6A009F71E74D}"/>
    <cellStyle name="Comma 4 2 2 4 2 2 3" xfId="11397" xr:uid="{67726C5D-8465-44EC-8E36-FBB32F4A38F4}"/>
    <cellStyle name="Comma 4 2 2 4 2 3" xfId="5020" xr:uid="{00000000-0005-0000-0000-00002E080000}"/>
    <cellStyle name="Comma 4 2 2 4 2 3 2" xfId="13470" xr:uid="{F532C26F-CFC1-464C-9BE1-EDC337FCA403}"/>
    <cellStyle name="Comma 4 2 2 4 2 4" xfId="9252" xr:uid="{72460A72-AAFD-465D-A42C-0E6D04DDC3C7}"/>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27CBEA37-A1D3-4092-A33C-4EE90B606969}"/>
    <cellStyle name="Comma 4 2 2 4 3 2 3" xfId="11810" xr:uid="{95261D2F-E38F-4E70-9548-7847AF6EC3F9}"/>
    <cellStyle name="Comma 4 2 2 4 3 3" xfId="5433" xr:uid="{00000000-0005-0000-0000-000032080000}"/>
    <cellStyle name="Comma 4 2 2 4 3 3 2" xfId="13883" xr:uid="{811A8C7E-A120-4CEE-A3A4-067A7356E50C}"/>
    <cellStyle name="Comma 4 2 2 4 3 4" xfId="9665" xr:uid="{FDD906F1-EF81-4457-8AEC-4F521F75F0A5}"/>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D5154524-0F98-4F0A-8E12-38DE833C7900}"/>
    <cellStyle name="Comma 4 2 2 4 4 2 3" xfId="12223" xr:uid="{E8C79E32-5D78-48BA-A8DE-F385319A9BF6}"/>
    <cellStyle name="Comma 4 2 2 4 4 3" xfId="5846" xr:uid="{00000000-0005-0000-0000-000036080000}"/>
    <cellStyle name="Comma 4 2 2 4 4 3 2" xfId="14296" xr:uid="{5E078916-EF96-475A-B26C-0273BE69E02F}"/>
    <cellStyle name="Comma 4 2 2 4 4 4" xfId="10078" xr:uid="{D4F07D84-AE82-4E4A-A6D1-362BBA8DE2A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518F4892-1B6B-47C6-B2A9-6026ABB01439}"/>
    <cellStyle name="Comma 4 2 2 4 5 2 3" xfId="12636" xr:uid="{8EBCF84E-3B3B-4ECA-8C41-CAC50E92319A}"/>
    <cellStyle name="Comma 4 2 2 4 5 3" xfId="6259" xr:uid="{00000000-0005-0000-0000-00003A080000}"/>
    <cellStyle name="Comma 4 2 2 4 5 3 2" xfId="14709" xr:uid="{0A341CCC-B648-4A50-9B8C-E50D790259EB}"/>
    <cellStyle name="Comma 4 2 2 4 5 4" xfId="10491" xr:uid="{3D4AD4B1-713B-4A7F-A1DE-90A0E8B30293}"/>
    <cellStyle name="Comma 4 2 2 4 6" xfId="2388" xr:uid="{00000000-0005-0000-0000-00003B080000}"/>
    <cellStyle name="Comma 4 2 2 4 6 2" xfId="6672" xr:uid="{00000000-0005-0000-0000-00003C080000}"/>
    <cellStyle name="Comma 4 2 2 4 6 2 2" xfId="15122" xr:uid="{2838C2B8-B664-46D0-8949-B4F333BFFE2F}"/>
    <cellStyle name="Comma 4 2 2 4 6 3" xfId="10904" xr:uid="{78B655BB-4726-476F-8D1E-757D08D3B1E1}"/>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3D287B7A-D16A-4D63-9817-088997E87CCA}"/>
    <cellStyle name="Comma 4 2 2 4 8 3" xfId="11221" xr:uid="{F3060B63-60A2-4716-BDB3-A3DE7D9CCD07}"/>
    <cellStyle name="Comma 4 2 2 4 9" xfId="4606" xr:uid="{00000000-0005-0000-0000-000040080000}"/>
    <cellStyle name="Comma 4 2 2 4 9 2" xfId="13056" xr:uid="{595AA153-26D8-40E9-AFA4-F7D9E93695F9}"/>
    <cellStyle name="Comma 4 2 2 5" xfId="135" xr:uid="{00000000-0005-0000-0000-000041080000}"/>
    <cellStyle name="Comma 4 2 2 5 10" xfId="8839" xr:uid="{A27C646C-A840-4480-9A30-B05C1DBFCEA0}"/>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3398BBA4-777E-448B-9C88-2315D16763D7}"/>
    <cellStyle name="Comma 4 2 2 5 2 2 3" xfId="11398" xr:uid="{D9A8DC49-874E-4DB4-9580-C41DB8C94AEC}"/>
    <cellStyle name="Comma 4 2 2 5 2 3" xfId="5021" xr:uid="{00000000-0005-0000-0000-000045080000}"/>
    <cellStyle name="Comma 4 2 2 5 2 3 2" xfId="13471" xr:uid="{8DB55363-1092-4020-9439-2710ADDBD409}"/>
    <cellStyle name="Comma 4 2 2 5 2 4" xfId="9253" xr:uid="{42898DF1-33F8-47F1-A4A1-ACDF541D588D}"/>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E1ADE1A2-7F15-4319-98CD-A4E81FF24282}"/>
    <cellStyle name="Comma 4 2 2 5 3 2 3" xfId="11811" xr:uid="{D192486B-2385-4E26-9855-4617748DE7C1}"/>
    <cellStyle name="Comma 4 2 2 5 3 3" xfId="5434" xr:uid="{00000000-0005-0000-0000-000049080000}"/>
    <cellStyle name="Comma 4 2 2 5 3 3 2" xfId="13884" xr:uid="{43774D11-A467-439B-AB16-B70BFF738BA0}"/>
    <cellStyle name="Comma 4 2 2 5 3 4" xfId="9666" xr:uid="{C9CBB35F-FCD3-47D6-BF18-D68D2F4A3AA2}"/>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7D4E6C88-595E-41C7-A381-3305BDDCFCB2}"/>
    <cellStyle name="Comma 4 2 2 5 4 2 3" xfId="12224" xr:uid="{31A06E2F-3A07-4F1A-9F32-D576E93F576F}"/>
    <cellStyle name="Comma 4 2 2 5 4 3" xfId="5847" xr:uid="{00000000-0005-0000-0000-00004D080000}"/>
    <cellStyle name="Comma 4 2 2 5 4 3 2" xfId="14297" xr:uid="{6D3171B5-AA68-428B-A841-392EBA5C71AC}"/>
    <cellStyle name="Comma 4 2 2 5 4 4" xfId="10079" xr:uid="{649FD9D7-D797-4278-AE2A-32B81B90FBAC}"/>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118E725C-5EB9-47E9-A6D8-B9B9C104E72C}"/>
    <cellStyle name="Comma 4 2 2 5 5 2 3" xfId="12637" xr:uid="{C785EECB-E6BA-47D6-B7A2-55213E02C7B4}"/>
    <cellStyle name="Comma 4 2 2 5 5 3" xfId="6260" xr:uid="{00000000-0005-0000-0000-000051080000}"/>
    <cellStyle name="Comma 4 2 2 5 5 3 2" xfId="14710" xr:uid="{AC9BD2DD-73CF-4614-AE8E-315A2C529EFA}"/>
    <cellStyle name="Comma 4 2 2 5 5 4" xfId="10492" xr:uid="{54A58CA1-B395-4438-9D79-05F62EDF350D}"/>
    <cellStyle name="Comma 4 2 2 5 6" xfId="2389" xr:uid="{00000000-0005-0000-0000-000052080000}"/>
    <cellStyle name="Comma 4 2 2 5 6 2" xfId="6673" xr:uid="{00000000-0005-0000-0000-000053080000}"/>
    <cellStyle name="Comma 4 2 2 5 6 2 2" xfId="15123" xr:uid="{AC8B1632-BFEA-4E61-8B24-7F5E31A7E29B}"/>
    <cellStyle name="Comma 4 2 2 5 6 3" xfId="10905" xr:uid="{D510B148-0951-4E4B-A16F-6F13B56CD9C8}"/>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076D9129-7025-400B-944B-5F68BA5C4547}"/>
    <cellStyle name="Comma 4 2 2 5 8 3" xfId="11222" xr:uid="{33FF8048-7B54-4CAD-97C8-A9A8DB9AA84A}"/>
    <cellStyle name="Comma 4 2 2 5 9" xfId="4607" xr:uid="{00000000-0005-0000-0000-000057080000}"/>
    <cellStyle name="Comma 4 2 2 5 9 2" xfId="13057" xr:uid="{063EBCA2-E9DC-4DB6-B70E-DF433DF88051}"/>
    <cellStyle name="Comma 4 2 3" xfId="136" xr:uid="{00000000-0005-0000-0000-000058080000}"/>
    <cellStyle name="Comma 4 2 3 10" xfId="2768" xr:uid="{00000000-0005-0000-0000-000059080000}"/>
    <cellStyle name="Comma 4 2 3 10 2" xfId="6991" xr:uid="{00000000-0005-0000-0000-00005A080000}"/>
    <cellStyle name="Comma 4 2 3 10 2 2" xfId="15441" xr:uid="{E0583684-638C-4457-AC92-3303F5EBA5D9}"/>
    <cellStyle name="Comma 4 2 3 10 3" xfId="11223" xr:uid="{D530A587-B15D-4E82-8CEA-4D25A199D0A9}"/>
    <cellStyle name="Comma 4 2 3 11" xfId="4608" xr:uid="{00000000-0005-0000-0000-00005B080000}"/>
    <cellStyle name="Comma 4 2 3 11 2" xfId="13058" xr:uid="{E6874B20-2B7E-469D-AD70-DD25EF52D60C}"/>
    <cellStyle name="Comma 4 2 3 12" xfId="8840" xr:uid="{00646963-8F4C-4AC4-AE3C-589ADA0C0E26}"/>
    <cellStyle name="Comma 4 2 3 2" xfId="137" xr:uid="{00000000-0005-0000-0000-00005C080000}"/>
    <cellStyle name="Comma 4 2 3 2 10" xfId="4609" xr:uid="{00000000-0005-0000-0000-00005D080000}"/>
    <cellStyle name="Comma 4 2 3 2 10 2" xfId="13059" xr:uid="{CBC42F5D-F41A-4B78-9C54-6181D4A8306C}"/>
    <cellStyle name="Comma 4 2 3 2 11" xfId="8841" xr:uid="{C01FA1DD-6C72-40DE-8918-1B7178F6F5F1}"/>
    <cellStyle name="Comma 4 2 3 2 2" xfId="138" xr:uid="{00000000-0005-0000-0000-00005E080000}"/>
    <cellStyle name="Comma 4 2 3 2 2 10" xfId="8842" xr:uid="{638D0A81-5B3C-402A-A9E4-A0704C81A719}"/>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927291A0-DD40-4610-A257-4D521427693F}"/>
    <cellStyle name="Comma 4 2 3 2 2 2 2 3" xfId="11401" xr:uid="{9B1A5535-3EF9-4F48-9D3F-BD9F836DDF22}"/>
    <cellStyle name="Comma 4 2 3 2 2 2 3" xfId="5024" xr:uid="{00000000-0005-0000-0000-000062080000}"/>
    <cellStyle name="Comma 4 2 3 2 2 2 3 2" xfId="13474" xr:uid="{EB45AC40-5700-4788-942F-9EFF99E6A4AD}"/>
    <cellStyle name="Comma 4 2 3 2 2 2 4" xfId="9256" xr:uid="{C1126805-6044-4FAA-8937-66FBDC7FDB24}"/>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F09E7C66-96C5-45B9-9BB6-9B6A850A98F4}"/>
    <cellStyle name="Comma 4 2 3 2 2 3 2 3" xfId="11814" xr:uid="{020DEBFD-5414-4919-B26D-B259623A6BBF}"/>
    <cellStyle name="Comma 4 2 3 2 2 3 3" xfId="5437" xr:uid="{00000000-0005-0000-0000-000066080000}"/>
    <cellStyle name="Comma 4 2 3 2 2 3 3 2" xfId="13887" xr:uid="{CBA590A0-3200-4DBA-A0E5-418EA7EED30D}"/>
    <cellStyle name="Comma 4 2 3 2 2 3 4" xfId="9669" xr:uid="{0D33936B-E412-4C8D-9101-DCDEE9A4170B}"/>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DCBEE4F8-C42D-471A-A439-836374907965}"/>
    <cellStyle name="Comma 4 2 3 2 2 4 2 3" xfId="12227" xr:uid="{BCC02AD8-66EC-4FBD-999F-40D21FEC4F7F}"/>
    <cellStyle name="Comma 4 2 3 2 2 4 3" xfId="5850" xr:uid="{00000000-0005-0000-0000-00006A080000}"/>
    <cellStyle name="Comma 4 2 3 2 2 4 3 2" xfId="14300" xr:uid="{6317B864-1A8B-48F7-B7DB-FFEC7AFB11FF}"/>
    <cellStyle name="Comma 4 2 3 2 2 4 4" xfId="10082" xr:uid="{97C64CA5-D96F-4F87-BBE9-18A6D91A6061}"/>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DCE522BF-06D1-4478-8373-A69B27AD70A8}"/>
    <cellStyle name="Comma 4 2 3 2 2 5 2 3" xfId="12640" xr:uid="{38390AE6-0E5E-41DD-BE5E-12CBAD894FEB}"/>
    <cellStyle name="Comma 4 2 3 2 2 5 3" xfId="6263" xr:uid="{00000000-0005-0000-0000-00006E080000}"/>
    <cellStyle name="Comma 4 2 3 2 2 5 3 2" xfId="14713" xr:uid="{279B9DBB-34C6-4B5D-8370-87A1E9916EAA}"/>
    <cellStyle name="Comma 4 2 3 2 2 5 4" xfId="10495" xr:uid="{AAE2498E-E714-47A5-9F57-79A238E72979}"/>
    <cellStyle name="Comma 4 2 3 2 2 6" xfId="2392" xr:uid="{00000000-0005-0000-0000-00006F080000}"/>
    <cellStyle name="Comma 4 2 3 2 2 6 2" xfId="6676" xr:uid="{00000000-0005-0000-0000-000070080000}"/>
    <cellStyle name="Comma 4 2 3 2 2 6 2 2" xfId="15126" xr:uid="{B2FAA6F4-B46B-4DCB-88FC-B1EFE82C1C01}"/>
    <cellStyle name="Comma 4 2 3 2 2 6 3" xfId="10908" xr:uid="{7086D2FC-EC14-41D3-888D-B12C08D2C7B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FB3136C-AA0B-4A66-9DFC-09873FBBE1AD}"/>
    <cellStyle name="Comma 4 2 3 2 2 8 3" xfId="11225" xr:uid="{E2859449-DBC5-4FB9-91F7-823C347E6BE4}"/>
    <cellStyle name="Comma 4 2 3 2 2 9" xfId="4610" xr:uid="{00000000-0005-0000-0000-000074080000}"/>
    <cellStyle name="Comma 4 2 3 2 2 9 2" xfId="13060" xr:uid="{FA7FE28A-FC9C-40D9-B293-F2E82C945449}"/>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46D8A21F-13B5-47A8-954F-46C0AD34ACFF}"/>
    <cellStyle name="Comma 4 2 3 2 3 2 3" xfId="11400" xr:uid="{FCB72C4D-2BF0-438A-8BA9-F64C85499D68}"/>
    <cellStyle name="Comma 4 2 3 2 3 3" xfId="5023" xr:uid="{00000000-0005-0000-0000-000078080000}"/>
    <cellStyle name="Comma 4 2 3 2 3 3 2" xfId="13473" xr:uid="{2C576487-E44B-4955-ADAE-10421E875FE0}"/>
    <cellStyle name="Comma 4 2 3 2 3 4" xfId="9255" xr:uid="{D27CECFE-3BEF-4AC8-AED1-05A00571D9FD}"/>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F1204D48-E842-4644-AC45-FB6490B45A43}"/>
    <cellStyle name="Comma 4 2 3 2 4 2 3" xfId="11813" xr:uid="{B7AD7A50-69D5-4D0E-AAE5-1FF746BA9B6C}"/>
    <cellStyle name="Comma 4 2 3 2 4 3" xfId="5436" xr:uid="{00000000-0005-0000-0000-00007C080000}"/>
    <cellStyle name="Comma 4 2 3 2 4 3 2" xfId="13886" xr:uid="{B37F0DCF-5B12-4DBD-B6BC-17EBA8CD4423}"/>
    <cellStyle name="Comma 4 2 3 2 4 4" xfId="9668" xr:uid="{FA1C41A0-603F-4C86-83B7-6B9A39AD80F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FF137402-693F-4709-895B-183792F9BDEB}"/>
    <cellStyle name="Comma 4 2 3 2 5 2 3" xfId="12226" xr:uid="{462058F2-7516-4302-AAC5-9E5D11A8E326}"/>
    <cellStyle name="Comma 4 2 3 2 5 3" xfId="5849" xr:uid="{00000000-0005-0000-0000-000080080000}"/>
    <cellStyle name="Comma 4 2 3 2 5 3 2" xfId="14299" xr:uid="{B0AF5FDF-2FBD-403F-8266-500A62A427D2}"/>
    <cellStyle name="Comma 4 2 3 2 5 4" xfId="10081" xr:uid="{3EFF07F1-669E-460F-A9CA-21D6C24B6056}"/>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5DEA3FA5-C082-4D8F-B05A-FE8E7EE6215C}"/>
    <cellStyle name="Comma 4 2 3 2 6 2 3" xfId="12639" xr:uid="{3EA1ED7E-BA5C-4612-81EE-C735C5C93200}"/>
    <cellStyle name="Comma 4 2 3 2 6 3" xfId="6262" xr:uid="{00000000-0005-0000-0000-000084080000}"/>
    <cellStyle name="Comma 4 2 3 2 6 3 2" xfId="14712" xr:uid="{32FAE1E6-ECFA-492E-8E50-D71EA113BA31}"/>
    <cellStyle name="Comma 4 2 3 2 6 4" xfId="10494" xr:uid="{1DF90977-990E-4F25-8B9A-C014EEA151E1}"/>
    <cellStyle name="Comma 4 2 3 2 7" xfId="2391" xr:uid="{00000000-0005-0000-0000-000085080000}"/>
    <cellStyle name="Comma 4 2 3 2 7 2" xfId="6675" xr:uid="{00000000-0005-0000-0000-000086080000}"/>
    <cellStyle name="Comma 4 2 3 2 7 2 2" xfId="15125" xr:uid="{F9135E02-B5AB-41E2-A1E8-B08607BCC307}"/>
    <cellStyle name="Comma 4 2 3 2 7 3" xfId="10907" xr:uid="{93BB344D-598C-45B3-9F14-7593E9592124}"/>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BD7B6423-522B-48ED-82EE-0584E588E63B}"/>
    <cellStyle name="Comma 4 2 3 2 9 3" xfId="11224" xr:uid="{B0D63DCD-ECB6-48BA-A35B-9418EA7DBE25}"/>
    <cellStyle name="Comma 4 2 3 3" xfId="139" xr:uid="{00000000-0005-0000-0000-00008A080000}"/>
    <cellStyle name="Comma 4 2 3 3 10" xfId="8843" xr:uid="{AD2C22AB-FE79-4CBC-9D87-D62284D2B44A}"/>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DB67AE2C-5FD7-499D-A096-35F22EA60651}"/>
    <cellStyle name="Comma 4 2 3 3 2 2 3" xfId="11402" xr:uid="{A0CAA3E5-46EC-408A-8293-D6C8DED564EE}"/>
    <cellStyle name="Comma 4 2 3 3 2 3" xfId="5025" xr:uid="{00000000-0005-0000-0000-00008E080000}"/>
    <cellStyle name="Comma 4 2 3 3 2 3 2" xfId="13475" xr:uid="{3C673438-4DAD-4B93-9A80-7F0B3C209484}"/>
    <cellStyle name="Comma 4 2 3 3 2 4" xfId="9257" xr:uid="{08225F32-C8C8-4970-B035-2EBE89C8883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E6BA707D-B2C6-4AF9-8C66-CE8B05523A87}"/>
    <cellStyle name="Comma 4 2 3 3 3 2 3" xfId="11815" xr:uid="{05988726-C00D-4A8B-99FE-E490431DDC88}"/>
    <cellStyle name="Comma 4 2 3 3 3 3" xfId="5438" xr:uid="{00000000-0005-0000-0000-000092080000}"/>
    <cellStyle name="Comma 4 2 3 3 3 3 2" xfId="13888" xr:uid="{689A9694-F782-41CD-92F8-436E4F0B03F3}"/>
    <cellStyle name="Comma 4 2 3 3 3 4" xfId="9670" xr:uid="{F7419512-12C7-4A8E-A304-0851B9DEC36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C093C41B-9F13-45A4-B5F8-DA777668A2CB}"/>
    <cellStyle name="Comma 4 2 3 3 4 2 3" xfId="12228" xr:uid="{C6A3917C-E9E2-4ABD-8FA9-2210F05330C9}"/>
    <cellStyle name="Comma 4 2 3 3 4 3" xfId="5851" xr:uid="{00000000-0005-0000-0000-000096080000}"/>
    <cellStyle name="Comma 4 2 3 3 4 3 2" xfId="14301" xr:uid="{23D77A7B-57F5-4C3F-A1DA-151A8F7846DC}"/>
    <cellStyle name="Comma 4 2 3 3 4 4" xfId="10083" xr:uid="{B5A3CB20-892B-4DDA-BC0A-E2ACA0257C88}"/>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E7065B14-08AE-46CE-BD40-B9150C732DB5}"/>
    <cellStyle name="Comma 4 2 3 3 5 2 3" xfId="12641" xr:uid="{34FA25EA-9382-4B1C-8CDA-E22B60A75EFA}"/>
    <cellStyle name="Comma 4 2 3 3 5 3" xfId="6264" xr:uid="{00000000-0005-0000-0000-00009A080000}"/>
    <cellStyle name="Comma 4 2 3 3 5 3 2" xfId="14714" xr:uid="{B5C3B8D6-7AD6-4D46-999C-43DCBC075794}"/>
    <cellStyle name="Comma 4 2 3 3 5 4" xfId="10496" xr:uid="{6CB4456F-A30E-463A-BAFD-4A50F670BA4F}"/>
    <cellStyle name="Comma 4 2 3 3 6" xfId="2393" xr:uid="{00000000-0005-0000-0000-00009B080000}"/>
    <cellStyle name="Comma 4 2 3 3 6 2" xfId="6677" xr:uid="{00000000-0005-0000-0000-00009C080000}"/>
    <cellStyle name="Comma 4 2 3 3 6 2 2" xfId="15127" xr:uid="{EB1A30DC-A3FE-4491-825B-0204A97CD2E8}"/>
    <cellStyle name="Comma 4 2 3 3 6 3" xfId="10909" xr:uid="{EC320D8A-3E57-48D8-B306-F2DCB2759705}"/>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F2BD4829-0F4B-47E9-867F-5FC4673E94D9}"/>
    <cellStyle name="Comma 4 2 3 3 8 3" xfId="11226" xr:uid="{6352176A-2294-4145-A7F5-1833C2D10806}"/>
    <cellStyle name="Comma 4 2 3 3 9" xfId="4611" xr:uid="{00000000-0005-0000-0000-0000A0080000}"/>
    <cellStyle name="Comma 4 2 3 3 9 2" xfId="13061" xr:uid="{5A17DC2A-3653-49F7-98B6-8D2DCF3DDA5F}"/>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6C3419C5-5943-4442-9E25-26DE53E67520}"/>
    <cellStyle name="Comma 4 2 3 4 2 3" xfId="11399" xr:uid="{12FEB4CF-4FE0-4445-8817-DE9B049FCA8A}"/>
    <cellStyle name="Comma 4 2 3 4 3" xfId="5022" xr:uid="{00000000-0005-0000-0000-0000A4080000}"/>
    <cellStyle name="Comma 4 2 3 4 3 2" xfId="13472" xr:uid="{EF4E049B-D9E3-4BB9-84DA-BCA18A870418}"/>
    <cellStyle name="Comma 4 2 3 4 4" xfId="9254" xr:uid="{90CC3596-53A1-4E9E-B3CF-2641E4FA15B2}"/>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4B95BC1C-C6F0-4B87-BED2-168E2AD17D5F}"/>
    <cellStyle name="Comma 4 2 3 5 2 3" xfId="11812" xr:uid="{244C5B35-13B3-4A13-948D-91C47427FC48}"/>
    <cellStyle name="Comma 4 2 3 5 3" xfId="5435" xr:uid="{00000000-0005-0000-0000-0000A8080000}"/>
    <cellStyle name="Comma 4 2 3 5 3 2" xfId="13885" xr:uid="{AE43F072-8266-4997-804F-2FA707E159D4}"/>
    <cellStyle name="Comma 4 2 3 5 4" xfId="9667" xr:uid="{BFAF591A-876C-4A1E-AA3A-55AD9F79BEE8}"/>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7276EB6F-48D5-48D5-8221-D22618DDBDE3}"/>
    <cellStyle name="Comma 4 2 3 6 2 3" xfId="12225" xr:uid="{94BADEA2-A6B3-4729-BCC2-18DE9BC433A6}"/>
    <cellStyle name="Comma 4 2 3 6 3" xfId="5848" xr:uid="{00000000-0005-0000-0000-0000AC080000}"/>
    <cellStyle name="Comma 4 2 3 6 3 2" xfId="14298" xr:uid="{800D4410-8030-4EE1-9D17-CD3082AC3259}"/>
    <cellStyle name="Comma 4 2 3 6 4" xfId="10080" xr:uid="{5937A37F-D2B2-46B9-8EFD-08A2961D8314}"/>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E13CD987-2CD0-4EFB-BF5B-159948CE9F87}"/>
    <cellStyle name="Comma 4 2 3 7 2 3" xfId="12638" xr:uid="{957298E5-50B3-4C35-A288-007CF57B256A}"/>
    <cellStyle name="Comma 4 2 3 7 3" xfId="6261" xr:uid="{00000000-0005-0000-0000-0000B0080000}"/>
    <cellStyle name="Comma 4 2 3 7 3 2" xfId="14711" xr:uid="{2D24C92F-6F69-44C7-8DDD-BEA9D8498D08}"/>
    <cellStyle name="Comma 4 2 3 7 4" xfId="10493" xr:uid="{0E569079-B586-4C95-8EB5-FB6FCA3DE9BC}"/>
    <cellStyle name="Comma 4 2 3 8" xfId="2390" xr:uid="{00000000-0005-0000-0000-0000B1080000}"/>
    <cellStyle name="Comma 4 2 3 8 2" xfId="6674" xr:uid="{00000000-0005-0000-0000-0000B2080000}"/>
    <cellStyle name="Comma 4 2 3 8 2 2" xfId="15124" xr:uid="{7FD0EE32-5EB3-400D-A004-EA5ACBB9CAD7}"/>
    <cellStyle name="Comma 4 2 3 8 3" xfId="10906" xr:uid="{E6311AAE-2424-4893-8E19-52AB873CD1D5}"/>
    <cellStyle name="Comma 4 2 3 9" xfId="2373" xr:uid="{00000000-0005-0000-0000-0000B3080000}"/>
    <cellStyle name="Comma 4 2 4" xfId="140" xr:uid="{00000000-0005-0000-0000-0000B4080000}"/>
    <cellStyle name="Comma 4 2 4 10" xfId="4612" xr:uid="{00000000-0005-0000-0000-0000B5080000}"/>
    <cellStyle name="Comma 4 2 4 10 2" xfId="13062" xr:uid="{7AC69818-9CF6-4226-A0DE-3E7BFFC3D366}"/>
    <cellStyle name="Comma 4 2 4 11" xfId="8844" xr:uid="{3C1D78EF-8DDD-46CC-A213-6E02E368E3F9}"/>
    <cellStyle name="Comma 4 2 4 2" xfId="141" xr:uid="{00000000-0005-0000-0000-0000B6080000}"/>
    <cellStyle name="Comma 4 2 4 2 10" xfId="8845" xr:uid="{F4D18822-B357-4C7D-B995-4EA16439B5FF}"/>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634C9EBD-D116-4E6F-9907-C9985B137A67}"/>
    <cellStyle name="Comma 4 2 4 2 2 2 3" xfId="11404" xr:uid="{30B8C8C9-6877-48CA-A9BC-97B58101978A}"/>
    <cellStyle name="Comma 4 2 4 2 2 3" xfId="5027" xr:uid="{00000000-0005-0000-0000-0000BA080000}"/>
    <cellStyle name="Comma 4 2 4 2 2 3 2" xfId="13477" xr:uid="{1287CA7F-8B04-4128-995E-1857115174F2}"/>
    <cellStyle name="Comma 4 2 4 2 2 4" xfId="9259" xr:uid="{D4CAF763-EB7F-4820-AFED-4DEDEBAC8F26}"/>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277705BF-5997-47E7-BFE4-F833901FA180}"/>
    <cellStyle name="Comma 4 2 4 2 3 2 3" xfId="11817" xr:uid="{B0D8E661-3F3A-48F6-8625-36EE4814FB24}"/>
    <cellStyle name="Comma 4 2 4 2 3 3" xfId="5440" xr:uid="{00000000-0005-0000-0000-0000BE080000}"/>
    <cellStyle name="Comma 4 2 4 2 3 3 2" xfId="13890" xr:uid="{264EC801-9809-43D0-8895-8E92B86CE9CA}"/>
    <cellStyle name="Comma 4 2 4 2 3 4" xfId="9672" xr:uid="{0C65A0BE-47AA-4E65-B486-81D8CFD5A68B}"/>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1D8890E6-36EE-4981-A464-04811C54EE2E}"/>
    <cellStyle name="Comma 4 2 4 2 4 2 3" xfId="12230" xr:uid="{4D4610F1-382B-42DA-9E25-507549CF8C36}"/>
    <cellStyle name="Comma 4 2 4 2 4 3" xfId="5853" xr:uid="{00000000-0005-0000-0000-0000C2080000}"/>
    <cellStyle name="Comma 4 2 4 2 4 3 2" xfId="14303" xr:uid="{AD0A0887-F3D0-4BBC-9A4A-5C53CDCA6B46}"/>
    <cellStyle name="Comma 4 2 4 2 4 4" xfId="10085" xr:uid="{73043886-E935-49F0-8F1B-AD2A08372908}"/>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1B9150D8-6998-41FD-924D-572D5A82225B}"/>
    <cellStyle name="Comma 4 2 4 2 5 2 3" xfId="12643" xr:uid="{1911116C-651E-4FDE-9BD7-64FE81553DAB}"/>
    <cellStyle name="Comma 4 2 4 2 5 3" xfId="6266" xr:uid="{00000000-0005-0000-0000-0000C6080000}"/>
    <cellStyle name="Comma 4 2 4 2 5 3 2" xfId="14716" xr:uid="{450F4F33-F5B6-479C-8731-367B61167149}"/>
    <cellStyle name="Comma 4 2 4 2 5 4" xfId="10498" xr:uid="{FEAEAA40-01B0-41C0-AD70-27B1D5FD3645}"/>
    <cellStyle name="Comma 4 2 4 2 6" xfId="2395" xr:uid="{00000000-0005-0000-0000-0000C7080000}"/>
    <cellStyle name="Comma 4 2 4 2 6 2" xfId="6679" xr:uid="{00000000-0005-0000-0000-0000C8080000}"/>
    <cellStyle name="Comma 4 2 4 2 6 2 2" xfId="15129" xr:uid="{B5357908-7416-4A99-9D0B-B4173F4E0EEA}"/>
    <cellStyle name="Comma 4 2 4 2 6 3" xfId="10911" xr:uid="{12A92118-F4E8-4D46-8905-26A4F2654CAF}"/>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604FFB7E-A841-45C6-ABA5-7CEF7E57835E}"/>
    <cellStyle name="Comma 4 2 4 2 8 3" xfId="11228" xr:uid="{E3BB7B2A-7268-4A3E-9120-2E78A72D4789}"/>
    <cellStyle name="Comma 4 2 4 2 9" xfId="4613" xr:uid="{00000000-0005-0000-0000-0000CC080000}"/>
    <cellStyle name="Comma 4 2 4 2 9 2" xfId="13063" xr:uid="{4FCF8A73-1A34-4EC1-B337-A56D3B3D7F95}"/>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78F227C4-DA42-4829-B7D7-3CF83419155C}"/>
    <cellStyle name="Comma 4 2 4 3 2 3" xfId="11403" xr:uid="{2B1E6152-2EC0-4496-90E3-AA9ECF5C2782}"/>
    <cellStyle name="Comma 4 2 4 3 3" xfId="5026" xr:uid="{00000000-0005-0000-0000-0000D0080000}"/>
    <cellStyle name="Comma 4 2 4 3 3 2" xfId="13476" xr:uid="{FC7F88ED-89E5-4AE1-ABC9-DD8C3D72F3F9}"/>
    <cellStyle name="Comma 4 2 4 3 4" xfId="9258" xr:uid="{0792316A-C35D-4496-B161-4E5290747B6A}"/>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73BAB0FF-017C-47B9-8B5C-8D64E4324309}"/>
    <cellStyle name="Comma 4 2 4 4 2 3" xfId="11816" xr:uid="{2795C29E-5F9A-468F-96D1-D8A9D729C450}"/>
    <cellStyle name="Comma 4 2 4 4 3" xfId="5439" xr:uid="{00000000-0005-0000-0000-0000D4080000}"/>
    <cellStyle name="Comma 4 2 4 4 3 2" xfId="13889" xr:uid="{28A1617F-B3FB-47A3-A710-C18603E9BDBF}"/>
    <cellStyle name="Comma 4 2 4 4 4" xfId="9671" xr:uid="{B7C0A218-8517-4D61-8330-0A19DF1EA0AB}"/>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EB629EE1-90A9-4370-8F44-3AEC422292E0}"/>
    <cellStyle name="Comma 4 2 4 5 2 3" xfId="12229" xr:uid="{0FCDE9DF-A436-49C7-BC35-164218B3E5EE}"/>
    <cellStyle name="Comma 4 2 4 5 3" xfId="5852" xr:uid="{00000000-0005-0000-0000-0000D8080000}"/>
    <cellStyle name="Comma 4 2 4 5 3 2" xfId="14302" xr:uid="{2DC0E7D9-108E-4647-B8C7-4282125727CC}"/>
    <cellStyle name="Comma 4 2 4 5 4" xfId="10084" xr:uid="{02151D09-E683-4117-9489-229F78ED79F0}"/>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ADDE4491-92B0-4E3E-A2A2-4596E2FB96AC}"/>
    <cellStyle name="Comma 4 2 4 6 2 3" xfId="12642" xr:uid="{2FC9FF86-E326-47CA-B1B6-2C74D6E9089F}"/>
    <cellStyle name="Comma 4 2 4 6 3" xfId="6265" xr:uid="{00000000-0005-0000-0000-0000DC080000}"/>
    <cellStyle name="Comma 4 2 4 6 3 2" xfId="14715" xr:uid="{90279D75-9086-42C7-A60D-DC919A41CB0B}"/>
    <cellStyle name="Comma 4 2 4 6 4" xfId="10497" xr:uid="{C250BDE4-7C1B-4DE9-956D-A8F11D95E5BC}"/>
    <cellStyle name="Comma 4 2 4 7" xfId="2394" xr:uid="{00000000-0005-0000-0000-0000DD080000}"/>
    <cellStyle name="Comma 4 2 4 7 2" xfId="6678" xr:uid="{00000000-0005-0000-0000-0000DE080000}"/>
    <cellStyle name="Comma 4 2 4 7 2 2" xfId="15128" xr:uid="{0D84930C-1750-48CE-9147-85388DB93627}"/>
    <cellStyle name="Comma 4 2 4 7 3" xfId="10910" xr:uid="{E8FB3A11-38EC-4C3F-9185-6A0AFF7DF931}"/>
    <cellStyle name="Comma 4 2 4 8" xfId="2369" xr:uid="{00000000-0005-0000-0000-0000DF080000}"/>
    <cellStyle name="Comma 4 2 4 9" xfId="2772" xr:uid="{00000000-0005-0000-0000-0000E0080000}"/>
    <cellStyle name="Comma 4 2 4 9 2" xfId="6995" xr:uid="{00000000-0005-0000-0000-0000E1080000}"/>
    <cellStyle name="Comma 4 2 4 9 2 2" xfId="15445" xr:uid="{0A346F86-9A14-4D94-9DD0-D4B1ADF85DD4}"/>
    <cellStyle name="Comma 4 2 4 9 3" xfId="11227" xr:uid="{14D8A584-927F-4004-98E1-D1E974E69861}"/>
    <cellStyle name="Comma 4 2 5" xfId="142" xr:uid="{00000000-0005-0000-0000-0000E2080000}"/>
    <cellStyle name="Comma 4 2 5 10" xfId="8846" xr:uid="{BA11C098-6419-4E19-A36B-B141645274D9}"/>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0ADAA512-E6EC-4DCE-8BF3-F3E79AB98DE7}"/>
    <cellStyle name="Comma 4 2 5 2 2 3" xfId="11405" xr:uid="{3630B311-CBB5-424D-A64F-81D02AAE172B}"/>
    <cellStyle name="Comma 4 2 5 2 3" xfId="5028" xr:uid="{00000000-0005-0000-0000-0000E6080000}"/>
    <cellStyle name="Comma 4 2 5 2 3 2" xfId="13478" xr:uid="{A4EC0682-AE78-411B-8E37-EC5253E91A9D}"/>
    <cellStyle name="Comma 4 2 5 2 4" xfId="9260" xr:uid="{38038577-1AD8-4D9C-AAC6-B11F6ABB40DA}"/>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0D9A8205-F1EF-4C0F-ACEA-E2C0AB7041D8}"/>
    <cellStyle name="Comma 4 2 5 3 2 3" xfId="11818" xr:uid="{1062DDD7-E9D5-435B-9131-17315B3CC45B}"/>
    <cellStyle name="Comma 4 2 5 3 3" xfId="5441" xr:uid="{00000000-0005-0000-0000-0000EA080000}"/>
    <cellStyle name="Comma 4 2 5 3 3 2" xfId="13891" xr:uid="{F85C0D42-4160-4D3B-B079-6B63309CFCB5}"/>
    <cellStyle name="Comma 4 2 5 3 4" xfId="9673" xr:uid="{0650CE7C-B026-4D18-8CBC-FDFF2CFA55BA}"/>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2FAB337B-A307-4F5B-A31B-D9717CE0196C}"/>
    <cellStyle name="Comma 4 2 5 4 2 3" xfId="12231" xr:uid="{C9B85CF1-406C-42D8-B036-4ACCEB589FA5}"/>
    <cellStyle name="Comma 4 2 5 4 3" xfId="5854" xr:uid="{00000000-0005-0000-0000-0000EE080000}"/>
    <cellStyle name="Comma 4 2 5 4 3 2" xfId="14304" xr:uid="{8A6C8621-9B08-4D53-B708-70696AB4DD95}"/>
    <cellStyle name="Comma 4 2 5 4 4" xfId="10086" xr:uid="{DDAE4B7F-AF71-4E11-AF72-9B780780A540}"/>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84C01912-BC3E-435F-8B06-CBB5F6671D8C}"/>
    <cellStyle name="Comma 4 2 5 5 2 3" xfId="12644" xr:uid="{387A0140-3F83-4042-8519-68AABCD6787F}"/>
    <cellStyle name="Comma 4 2 5 5 3" xfId="6267" xr:uid="{00000000-0005-0000-0000-0000F2080000}"/>
    <cellStyle name="Comma 4 2 5 5 3 2" xfId="14717" xr:uid="{E2A8ECBA-20D8-47B1-8590-D934B63B2E9B}"/>
    <cellStyle name="Comma 4 2 5 5 4" xfId="10499" xr:uid="{0CE7CF8D-85FC-48E3-8E04-D3D029F5512A}"/>
    <cellStyle name="Comma 4 2 5 6" xfId="2396" xr:uid="{00000000-0005-0000-0000-0000F3080000}"/>
    <cellStyle name="Comma 4 2 5 6 2" xfId="6680" xr:uid="{00000000-0005-0000-0000-0000F4080000}"/>
    <cellStyle name="Comma 4 2 5 6 2 2" xfId="15130" xr:uid="{E8D838B0-5CF5-43D4-A24A-ED527A6115EE}"/>
    <cellStyle name="Comma 4 2 5 6 3" xfId="10912" xr:uid="{9F871CC0-3888-4CB6-B1A7-A141EB979EED}"/>
    <cellStyle name="Comma 4 2 5 7" xfId="2367" xr:uid="{00000000-0005-0000-0000-0000F5080000}"/>
    <cellStyle name="Comma 4 2 5 8" xfId="2774" xr:uid="{00000000-0005-0000-0000-0000F6080000}"/>
    <cellStyle name="Comma 4 2 5 8 2" xfId="6997" xr:uid="{00000000-0005-0000-0000-0000F7080000}"/>
    <cellStyle name="Comma 4 2 5 8 2 2" xfId="15447" xr:uid="{FE8B25D6-7F39-46B1-B36D-C8BBFFEEAF8A}"/>
    <cellStyle name="Comma 4 2 5 8 3" xfId="11229" xr:uid="{34BE4337-D5CA-4310-AC34-4DFFDDC095E5}"/>
    <cellStyle name="Comma 4 2 5 9" xfId="4614" xr:uid="{00000000-0005-0000-0000-0000F8080000}"/>
    <cellStyle name="Comma 4 2 5 9 2" xfId="13064" xr:uid="{094BF9B6-700C-412F-B821-DAF3900FFC12}"/>
    <cellStyle name="Comma 4 2 6" xfId="143" xr:uid="{00000000-0005-0000-0000-0000F9080000}"/>
    <cellStyle name="Comma 4 2 6 10" xfId="8847" xr:uid="{01F98110-107A-4355-9E39-0907CB2839B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F8C44BE3-7DF9-4D1C-B0E0-3F0951B971E2}"/>
    <cellStyle name="Comma 4 2 6 2 2 3" xfId="11406" xr:uid="{9913D89A-85CB-4B71-BD56-4D240A6A4503}"/>
    <cellStyle name="Comma 4 2 6 2 3" xfId="5029" xr:uid="{00000000-0005-0000-0000-0000FD080000}"/>
    <cellStyle name="Comma 4 2 6 2 3 2" xfId="13479" xr:uid="{0ADEDD41-89CA-48D4-8DBA-45C9E5C739F5}"/>
    <cellStyle name="Comma 4 2 6 2 4" xfId="9261" xr:uid="{1F9776D0-FE26-449F-A2C8-1472BA14F30F}"/>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F21B3B5D-0F9A-4BCB-B488-D12ED9C64A4D}"/>
    <cellStyle name="Comma 4 2 6 3 2 3" xfId="11819" xr:uid="{A5DFB236-291D-4186-9D47-5D6BEB4E4C55}"/>
    <cellStyle name="Comma 4 2 6 3 3" xfId="5442" xr:uid="{00000000-0005-0000-0000-000001090000}"/>
    <cellStyle name="Comma 4 2 6 3 3 2" xfId="13892" xr:uid="{1CC05F67-9033-48FB-9EEB-747C7D14C730}"/>
    <cellStyle name="Comma 4 2 6 3 4" xfId="9674" xr:uid="{7C3EC8C7-860D-4C22-AC4F-59FA95A7C636}"/>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28C879E2-C70C-46E8-9310-FCC2365273CE}"/>
    <cellStyle name="Comma 4 2 6 4 2 3" xfId="12232" xr:uid="{9B3F9F47-4676-4955-8E00-A909A6C55AA0}"/>
    <cellStyle name="Comma 4 2 6 4 3" xfId="5855" xr:uid="{00000000-0005-0000-0000-000005090000}"/>
    <cellStyle name="Comma 4 2 6 4 3 2" xfId="14305" xr:uid="{F3C3E0DA-E3FC-439A-B089-02C7CFEE1D2D}"/>
    <cellStyle name="Comma 4 2 6 4 4" xfId="10087" xr:uid="{48C85613-683B-4861-A3A7-B2CE7C177FA1}"/>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9A909906-8599-4127-85A2-6ED5DD60AD03}"/>
    <cellStyle name="Comma 4 2 6 5 2 3" xfId="12645" xr:uid="{AA4791DF-3E9A-4191-8185-E9D140BF180B}"/>
    <cellStyle name="Comma 4 2 6 5 3" xfId="6268" xr:uid="{00000000-0005-0000-0000-000009090000}"/>
    <cellStyle name="Comma 4 2 6 5 3 2" xfId="14718" xr:uid="{18554476-0027-4FAF-B2D1-912840AAC502}"/>
    <cellStyle name="Comma 4 2 6 5 4" xfId="10500" xr:uid="{80CAA173-78F2-44BF-84B7-4FE835318678}"/>
    <cellStyle name="Comma 4 2 6 6" xfId="2397" xr:uid="{00000000-0005-0000-0000-00000A090000}"/>
    <cellStyle name="Comma 4 2 6 6 2" xfId="6681" xr:uid="{00000000-0005-0000-0000-00000B090000}"/>
    <cellStyle name="Comma 4 2 6 6 2 2" xfId="15131" xr:uid="{9D7F3DF8-A16D-4628-9690-B6A48C23B27C}"/>
    <cellStyle name="Comma 4 2 6 6 3" xfId="10913" xr:uid="{CE2094B2-2BE0-4905-AE2D-503E69C85C86}"/>
    <cellStyle name="Comma 4 2 6 7" xfId="2366" xr:uid="{00000000-0005-0000-0000-00000C090000}"/>
    <cellStyle name="Comma 4 2 6 8" xfId="2775" xr:uid="{00000000-0005-0000-0000-00000D090000}"/>
    <cellStyle name="Comma 4 2 6 8 2" xfId="6998" xr:uid="{00000000-0005-0000-0000-00000E090000}"/>
    <cellStyle name="Comma 4 2 6 8 2 2" xfId="15448" xr:uid="{4DA2BE8D-A332-43C2-A6C0-85D23B1AE66A}"/>
    <cellStyle name="Comma 4 2 6 8 3" xfId="11230" xr:uid="{AFFF47E0-8893-4798-9107-436E18252922}"/>
    <cellStyle name="Comma 4 2 6 9" xfId="4615" xr:uid="{00000000-0005-0000-0000-00000F090000}"/>
    <cellStyle name="Comma 4 2 6 9 2" xfId="13065" xr:uid="{C6C6C0AB-DB0A-4959-8AE6-5FA33A602D1E}"/>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33AFAE70-942F-42D5-9BE4-E7DC9F893368}"/>
    <cellStyle name="Comma 4 3 2 10 3" xfId="11231" xr:uid="{1680A4DB-DB9A-43AE-BFE5-FCC0FAF5F172}"/>
    <cellStyle name="Comma 4 3 2 11" xfId="4616" xr:uid="{00000000-0005-0000-0000-000014090000}"/>
    <cellStyle name="Comma 4 3 2 11 2" xfId="13066" xr:uid="{5099D1E9-F4A0-4434-A4B8-9312D966112E}"/>
    <cellStyle name="Comma 4 3 2 12" xfId="8848" xr:uid="{6A40E175-7F0C-44A1-BF91-6D97389AFE05}"/>
    <cellStyle name="Comma 4 3 2 2" xfId="146" xr:uid="{00000000-0005-0000-0000-000015090000}"/>
    <cellStyle name="Comma 4 3 2 2 10" xfId="4617" xr:uid="{00000000-0005-0000-0000-000016090000}"/>
    <cellStyle name="Comma 4 3 2 2 10 2" xfId="13067" xr:uid="{7319DDFC-8229-446B-87EB-71420981A8D9}"/>
    <cellStyle name="Comma 4 3 2 2 11" xfId="8849" xr:uid="{CDCB5379-C1D6-41CC-9054-C219E612A063}"/>
    <cellStyle name="Comma 4 3 2 2 2" xfId="147" xr:uid="{00000000-0005-0000-0000-000017090000}"/>
    <cellStyle name="Comma 4 3 2 2 2 10" xfId="8850" xr:uid="{AD1ABDB0-A53D-41B6-B5EA-51BAF3779ECB}"/>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A50F9B41-231A-4A9B-A159-D6DB31BCB270}"/>
    <cellStyle name="Comma 4 3 2 2 2 2 2 3" xfId="11409" xr:uid="{B0C98C46-1FBE-4329-97AC-35372606325D}"/>
    <cellStyle name="Comma 4 3 2 2 2 2 3" xfId="5032" xr:uid="{00000000-0005-0000-0000-00001B090000}"/>
    <cellStyle name="Comma 4 3 2 2 2 2 3 2" xfId="13482" xr:uid="{607BC7F6-47F5-43B9-8BFA-44CC3A18DA1D}"/>
    <cellStyle name="Comma 4 3 2 2 2 2 4" xfId="9264" xr:uid="{9955D15C-6433-496D-95A1-9ED5AFD2E5C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0AF8CC8D-94F9-4B6D-8196-F73654DE2BE9}"/>
    <cellStyle name="Comma 4 3 2 2 2 3 2 3" xfId="11822" xr:uid="{386F7976-732E-47C2-ABEC-CD4FEA10AACC}"/>
    <cellStyle name="Comma 4 3 2 2 2 3 3" xfId="5445" xr:uid="{00000000-0005-0000-0000-00001F090000}"/>
    <cellStyle name="Comma 4 3 2 2 2 3 3 2" xfId="13895" xr:uid="{FD240CB1-B64D-4BA8-B212-943572397B6E}"/>
    <cellStyle name="Comma 4 3 2 2 2 3 4" xfId="9677" xr:uid="{8CE946CB-2094-429C-9E21-74DE241C6039}"/>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1FA5D667-8EA5-4AF5-B30D-E3C4AAC0D036}"/>
    <cellStyle name="Comma 4 3 2 2 2 4 2 3" xfId="12235" xr:uid="{43529A1C-9D2E-49D9-B397-E868D25B83C9}"/>
    <cellStyle name="Comma 4 3 2 2 2 4 3" xfId="5858" xr:uid="{00000000-0005-0000-0000-000023090000}"/>
    <cellStyle name="Comma 4 3 2 2 2 4 3 2" xfId="14308" xr:uid="{3A0CE4F2-BB91-4CB9-99DD-F9E05827C18B}"/>
    <cellStyle name="Comma 4 3 2 2 2 4 4" xfId="10090" xr:uid="{C31D8904-CDC9-4FE6-96C6-1D1A47E83BF2}"/>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C15C9126-B0F3-4F0C-B868-A2633AC888E6}"/>
    <cellStyle name="Comma 4 3 2 2 2 5 2 3" xfId="12648" xr:uid="{32A7B773-9B0D-455C-ABBA-871CB69471AA}"/>
    <cellStyle name="Comma 4 3 2 2 2 5 3" xfId="6271" xr:uid="{00000000-0005-0000-0000-000027090000}"/>
    <cellStyle name="Comma 4 3 2 2 2 5 3 2" xfId="14721" xr:uid="{53BB1F6F-AE68-498B-BA3B-B3D8212662B8}"/>
    <cellStyle name="Comma 4 3 2 2 2 5 4" xfId="10503" xr:uid="{1601FCDB-9895-460E-B5D1-7CCB9E3CE9BF}"/>
    <cellStyle name="Comma 4 3 2 2 2 6" xfId="2400" xr:uid="{00000000-0005-0000-0000-000028090000}"/>
    <cellStyle name="Comma 4 3 2 2 2 6 2" xfId="6684" xr:uid="{00000000-0005-0000-0000-000029090000}"/>
    <cellStyle name="Comma 4 3 2 2 2 6 2 2" xfId="15134" xr:uid="{6B511838-EB55-4CA7-A5CF-B87FA91EA31C}"/>
    <cellStyle name="Comma 4 3 2 2 2 6 3" xfId="10916" xr:uid="{D863CA3A-3A91-44C4-A6F4-67B7139CCDA2}"/>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BFDE8D71-52CD-404C-A115-FAD55C788AFC}"/>
    <cellStyle name="Comma 4 3 2 2 2 8 3" xfId="11233" xr:uid="{8C62C8FD-7098-427A-A8E1-77C399433B07}"/>
    <cellStyle name="Comma 4 3 2 2 2 9" xfId="4618" xr:uid="{00000000-0005-0000-0000-00002D090000}"/>
    <cellStyle name="Comma 4 3 2 2 2 9 2" xfId="13068" xr:uid="{21CADBA6-836E-4932-95F9-2E9F8C25414D}"/>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7D416C0F-2651-4CE0-BABE-DA97F25CC204}"/>
    <cellStyle name="Comma 4 3 2 2 3 2 3" xfId="11408" xr:uid="{97760618-438C-4AB9-8C66-E95BAE45B0FF}"/>
    <cellStyle name="Comma 4 3 2 2 3 3" xfId="5031" xr:uid="{00000000-0005-0000-0000-000031090000}"/>
    <cellStyle name="Comma 4 3 2 2 3 3 2" xfId="13481" xr:uid="{EAE22CC6-1CFF-4BD3-9DCF-0B06F3E1C144}"/>
    <cellStyle name="Comma 4 3 2 2 3 4" xfId="9263" xr:uid="{F460E0CE-C9CD-4339-ACB7-66D478F4ABD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9F0BF8C0-8928-452C-9457-C77D56143042}"/>
    <cellStyle name="Comma 4 3 2 2 4 2 3" xfId="11821" xr:uid="{53A4D424-7182-49F8-9606-2ED74784CCAE}"/>
    <cellStyle name="Comma 4 3 2 2 4 3" xfId="5444" xr:uid="{00000000-0005-0000-0000-000035090000}"/>
    <cellStyle name="Comma 4 3 2 2 4 3 2" xfId="13894" xr:uid="{38E08759-ACEA-419D-B480-4A3E52D231CC}"/>
    <cellStyle name="Comma 4 3 2 2 4 4" xfId="9676" xr:uid="{DAD8ABE2-A287-4BBC-83DC-2F57A04B58EA}"/>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82FDAE24-6BCC-46B6-8F8D-CE075BDB3698}"/>
    <cellStyle name="Comma 4 3 2 2 5 2 3" xfId="12234" xr:uid="{9719BE9D-9E2B-4484-A52D-84E4F369BC7E}"/>
    <cellStyle name="Comma 4 3 2 2 5 3" xfId="5857" xr:uid="{00000000-0005-0000-0000-000039090000}"/>
    <cellStyle name="Comma 4 3 2 2 5 3 2" xfId="14307" xr:uid="{33BDFBFF-567C-4B1A-8A8D-8E341AA6C0FB}"/>
    <cellStyle name="Comma 4 3 2 2 5 4" xfId="10089" xr:uid="{E55BD0AB-2592-444B-8200-EE3A052A9CB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9C8F90BE-3513-4A8F-B1EF-B0FFAF17FCE6}"/>
    <cellStyle name="Comma 4 3 2 2 6 2 3" xfId="12647" xr:uid="{2E20D2A1-80D0-4C78-9AFE-B21BFF5E90F3}"/>
    <cellStyle name="Comma 4 3 2 2 6 3" xfId="6270" xr:uid="{00000000-0005-0000-0000-00003D090000}"/>
    <cellStyle name="Comma 4 3 2 2 6 3 2" xfId="14720" xr:uid="{7DEE8269-CD5D-4EA4-B3D2-8A95001325E8}"/>
    <cellStyle name="Comma 4 3 2 2 6 4" xfId="10502" xr:uid="{04F4BFC1-85A0-43FA-A20F-74C7F38225B1}"/>
    <cellStyle name="Comma 4 3 2 2 7" xfId="2399" xr:uid="{00000000-0005-0000-0000-00003E090000}"/>
    <cellStyle name="Comma 4 3 2 2 7 2" xfId="6683" xr:uid="{00000000-0005-0000-0000-00003F090000}"/>
    <cellStyle name="Comma 4 3 2 2 7 2 2" xfId="15133" xr:uid="{39776DB4-E247-42B3-BC26-1B9180D87873}"/>
    <cellStyle name="Comma 4 3 2 2 7 3" xfId="10915" xr:uid="{212D0C0C-38F5-491C-8F4E-A3132BDE399B}"/>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D02F6DAA-0017-4E3A-B48A-2D3EC2E7B2EA}"/>
    <cellStyle name="Comma 4 3 2 2 9 3" xfId="11232" xr:uid="{8D94DFAF-D3D4-4297-BA32-F95F6E92B20D}"/>
    <cellStyle name="Comma 4 3 2 3" xfId="148" xr:uid="{00000000-0005-0000-0000-000043090000}"/>
    <cellStyle name="Comma 4 3 2 3 10" xfId="8851" xr:uid="{B700895D-A94B-4F26-B1A4-620AD5604A48}"/>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611E509A-49C1-4F5F-A18C-F92765D8D694}"/>
    <cellStyle name="Comma 4 3 2 3 2 2 3" xfId="11410" xr:uid="{F732206D-FAB3-47A0-838A-23F0055FEC48}"/>
    <cellStyle name="Comma 4 3 2 3 2 3" xfId="5033" xr:uid="{00000000-0005-0000-0000-000047090000}"/>
    <cellStyle name="Comma 4 3 2 3 2 3 2" xfId="13483" xr:uid="{6A08008B-EA6C-424A-9515-70798E1678B1}"/>
    <cellStyle name="Comma 4 3 2 3 2 4" xfId="9265" xr:uid="{0CA4CA55-6F95-4DD0-BE5C-61E7D699FA03}"/>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996E69E7-C2F8-4F56-8175-1CCE4CE4B081}"/>
    <cellStyle name="Comma 4 3 2 3 3 2 3" xfId="11823" xr:uid="{F6774D11-070D-471C-8129-E7EED2C6EF92}"/>
    <cellStyle name="Comma 4 3 2 3 3 3" xfId="5446" xr:uid="{00000000-0005-0000-0000-00004B090000}"/>
    <cellStyle name="Comma 4 3 2 3 3 3 2" xfId="13896" xr:uid="{442B326D-0378-485F-87B9-645792AA6C53}"/>
    <cellStyle name="Comma 4 3 2 3 3 4" xfId="9678" xr:uid="{D4272F18-18B5-452C-A7F9-65DCF1A8620B}"/>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C1A11873-DF3E-4762-85E7-88B7F55DB778}"/>
    <cellStyle name="Comma 4 3 2 3 4 2 3" xfId="12236" xr:uid="{3BD6E58A-4D50-4A14-A756-2771B63C9056}"/>
    <cellStyle name="Comma 4 3 2 3 4 3" xfId="5859" xr:uid="{00000000-0005-0000-0000-00004F090000}"/>
    <cellStyle name="Comma 4 3 2 3 4 3 2" xfId="14309" xr:uid="{B5849E49-F363-42FF-9B2E-BF5401786DB7}"/>
    <cellStyle name="Comma 4 3 2 3 4 4" xfId="10091" xr:uid="{ACEEDFB7-6FD0-47C9-9029-D596606B2D03}"/>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7E6607F6-2987-4334-9782-50D97DF7B6A6}"/>
    <cellStyle name="Comma 4 3 2 3 5 2 3" xfId="12649" xr:uid="{045C0160-3449-489B-BF6C-CB163A3849BC}"/>
    <cellStyle name="Comma 4 3 2 3 5 3" xfId="6272" xr:uid="{00000000-0005-0000-0000-000053090000}"/>
    <cellStyle name="Comma 4 3 2 3 5 3 2" xfId="14722" xr:uid="{D3DEFA1A-C6FA-4FEC-ACB0-251FBD35D4AA}"/>
    <cellStyle name="Comma 4 3 2 3 5 4" xfId="10504" xr:uid="{FD47916B-848E-4A44-B580-79AA4080AAE5}"/>
    <cellStyle name="Comma 4 3 2 3 6" xfId="2401" xr:uid="{00000000-0005-0000-0000-000054090000}"/>
    <cellStyle name="Comma 4 3 2 3 6 2" xfId="6685" xr:uid="{00000000-0005-0000-0000-000055090000}"/>
    <cellStyle name="Comma 4 3 2 3 6 2 2" xfId="15135" xr:uid="{22D31814-11B7-4F78-BA9F-2D2C0790EED3}"/>
    <cellStyle name="Comma 4 3 2 3 6 3" xfId="10917" xr:uid="{A3709030-B60F-4866-AC59-9A517DDCAFBF}"/>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406C4453-DB6C-446F-931A-E61AE5D559F6}"/>
    <cellStyle name="Comma 4 3 2 3 8 3" xfId="11234" xr:uid="{5583B25F-5C82-474D-AC8B-15C6E0916F3F}"/>
    <cellStyle name="Comma 4 3 2 3 9" xfId="4619" xr:uid="{00000000-0005-0000-0000-000059090000}"/>
    <cellStyle name="Comma 4 3 2 3 9 2" xfId="13069" xr:uid="{8A9713DE-3B35-48E0-A131-ACA74711D7CB}"/>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160CF6B8-5B00-42E6-A4D1-F5967916299B}"/>
    <cellStyle name="Comma 4 3 2 4 2 3" xfId="11407" xr:uid="{B3FB477D-E4B2-4D75-9E5D-F54E98F85F7A}"/>
    <cellStyle name="Comma 4 3 2 4 3" xfId="5030" xr:uid="{00000000-0005-0000-0000-00005D090000}"/>
    <cellStyle name="Comma 4 3 2 4 3 2" xfId="13480" xr:uid="{874464B0-883D-423F-8D6F-11FA5A233A7F}"/>
    <cellStyle name="Comma 4 3 2 4 4" xfId="9262" xr:uid="{D0658366-A857-4E1D-A90E-48072676BBCC}"/>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B1053B35-D3AC-4D82-B5A8-1559E54DF3FB}"/>
    <cellStyle name="Comma 4 3 2 5 2 3" xfId="11820" xr:uid="{092B886D-BCA5-4085-954F-C2AE9DEAED49}"/>
    <cellStyle name="Comma 4 3 2 5 3" xfId="5443" xr:uid="{00000000-0005-0000-0000-000061090000}"/>
    <cellStyle name="Comma 4 3 2 5 3 2" xfId="13893" xr:uid="{20828049-4C1E-40EB-92E5-A800601EF380}"/>
    <cellStyle name="Comma 4 3 2 5 4" xfId="9675" xr:uid="{FCBFFC84-37C0-4D9D-B6DC-626DD803089B}"/>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BB6D05A7-AA89-48B9-A984-F4F808C3295E}"/>
    <cellStyle name="Comma 4 3 2 6 2 3" xfId="12233" xr:uid="{F97CC9B3-6304-4501-ABE4-1AEB9A873F7F}"/>
    <cellStyle name="Comma 4 3 2 6 3" xfId="5856" xr:uid="{00000000-0005-0000-0000-000065090000}"/>
    <cellStyle name="Comma 4 3 2 6 3 2" xfId="14306" xr:uid="{91A7C1FB-DF16-4AC1-8346-9E17CD252E11}"/>
    <cellStyle name="Comma 4 3 2 6 4" xfId="10088" xr:uid="{59A6D55C-EA46-4140-96C5-E426943D9F30}"/>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B10FD298-A99B-4710-971C-F7B8F44CF77D}"/>
    <cellStyle name="Comma 4 3 2 7 2 3" xfId="12646" xr:uid="{7EDFDD7F-F45E-4207-8102-565DAB382ABB}"/>
    <cellStyle name="Comma 4 3 2 7 3" xfId="6269" xr:uid="{00000000-0005-0000-0000-000069090000}"/>
    <cellStyle name="Comma 4 3 2 7 3 2" xfId="14719" xr:uid="{539B63A8-89A1-452E-B7CE-957A616DA156}"/>
    <cellStyle name="Comma 4 3 2 7 4" xfId="10501" xr:uid="{1B4B83E2-B4BB-445C-9187-CB5246F9C743}"/>
    <cellStyle name="Comma 4 3 2 8" xfId="2398" xr:uid="{00000000-0005-0000-0000-00006A090000}"/>
    <cellStyle name="Comma 4 3 2 8 2" xfId="6682" xr:uid="{00000000-0005-0000-0000-00006B090000}"/>
    <cellStyle name="Comma 4 3 2 8 2 2" xfId="15132" xr:uid="{94234825-46AC-47E3-B581-EBCC7BE889CF}"/>
    <cellStyle name="Comma 4 3 2 8 3" xfId="10914" xr:uid="{C73EE239-CE56-448E-8FC1-E0ED5E48562B}"/>
    <cellStyle name="Comma 4 3 2 9" xfId="2365" xr:uid="{00000000-0005-0000-0000-00006C090000}"/>
    <cellStyle name="Comma 4 3 3" xfId="149" xr:uid="{00000000-0005-0000-0000-00006D090000}"/>
    <cellStyle name="Comma 4 3 3 10" xfId="4620" xr:uid="{00000000-0005-0000-0000-00006E090000}"/>
    <cellStyle name="Comma 4 3 3 10 2" xfId="13070" xr:uid="{D045A144-D7E2-4298-8026-002EC97E2B0A}"/>
    <cellStyle name="Comma 4 3 3 11" xfId="8852" xr:uid="{BCDE858B-B390-401D-8F66-7D164F9AA1CF}"/>
    <cellStyle name="Comma 4 3 3 2" xfId="150" xr:uid="{00000000-0005-0000-0000-00006F090000}"/>
    <cellStyle name="Comma 4 3 3 2 10" xfId="8853" xr:uid="{362A209E-BAF7-465D-9773-5C11B27B0F35}"/>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63D05F64-83A0-42AF-86A2-B6018216F23B}"/>
    <cellStyle name="Comma 4 3 3 2 2 2 3" xfId="11412" xr:uid="{24FBBD0A-B4FA-409F-A725-9A638D6FB144}"/>
    <cellStyle name="Comma 4 3 3 2 2 3" xfId="5035" xr:uid="{00000000-0005-0000-0000-000073090000}"/>
    <cellStyle name="Comma 4 3 3 2 2 3 2" xfId="13485" xr:uid="{93BCADE4-0322-4202-BA80-32CEFA939713}"/>
    <cellStyle name="Comma 4 3 3 2 2 4" xfId="9267" xr:uid="{9A116405-FCFD-48A7-972D-18302BF8B4D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A2428962-93FD-4B0B-B677-586EAA8C7990}"/>
    <cellStyle name="Comma 4 3 3 2 3 2 3" xfId="11825" xr:uid="{5B5D680C-E992-4A46-921C-21B9245D88D4}"/>
    <cellStyle name="Comma 4 3 3 2 3 3" xfId="5448" xr:uid="{00000000-0005-0000-0000-000077090000}"/>
    <cellStyle name="Comma 4 3 3 2 3 3 2" xfId="13898" xr:uid="{26D5D082-529B-4C1C-8C4D-D4601408A380}"/>
    <cellStyle name="Comma 4 3 3 2 3 4" xfId="9680" xr:uid="{F46C9BD7-1E50-453D-AC4F-680CB4B88D78}"/>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3E751933-8371-4BE0-8E4C-2BCA04581960}"/>
    <cellStyle name="Comma 4 3 3 2 4 2 3" xfId="12238" xr:uid="{521EC4AA-A4CB-415C-B2D0-AF952A3EBF4C}"/>
    <cellStyle name="Comma 4 3 3 2 4 3" xfId="5861" xr:uid="{00000000-0005-0000-0000-00007B090000}"/>
    <cellStyle name="Comma 4 3 3 2 4 3 2" xfId="14311" xr:uid="{014BCEF0-9830-4499-A133-DFA7589E0C2F}"/>
    <cellStyle name="Comma 4 3 3 2 4 4" xfId="10093" xr:uid="{206D0171-402A-4562-B53C-C8C74DE6638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C692F8BB-494B-4ACB-B04A-CD9E99B02ADF}"/>
    <cellStyle name="Comma 4 3 3 2 5 2 3" xfId="12651" xr:uid="{6BB52091-AB2C-4C6E-97FA-F26D550B6E26}"/>
    <cellStyle name="Comma 4 3 3 2 5 3" xfId="6274" xr:uid="{00000000-0005-0000-0000-00007F090000}"/>
    <cellStyle name="Comma 4 3 3 2 5 3 2" xfId="14724" xr:uid="{08C9CF06-3C7D-4FAC-8651-48CD212DFA62}"/>
    <cellStyle name="Comma 4 3 3 2 5 4" xfId="10506" xr:uid="{58D57046-EEC2-42DD-99DF-A73A82DBE2AA}"/>
    <cellStyle name="Comma 4 3 3 2 6" xfId="2403" xr:uid="{00000000-0005-0000-0000-000080090000}"/>
    <cellStyle name="Comma 4 3 3 2 6 2" xfId="6687" xr:uid="{00000000-0005-0000-0000-000081090000}"/>
    <cellStyle name="Comma 4 3 3 2 6 2 2" xfId="15137" xr:uid="{ED8CA9A8-24E2-416A-A970-E121E0A1BE17}"/>
    <cellStyle name="Comma 4 3 3 2 6 3" xfId="10919" xr:uid="{5956B0E8-B4F6-4937-9234-D969533E50C7}"/>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024E911C-1F9E-44A7-A679-B0EBBA8065F6}"/>
    <cellStyle name="Comma 4 3 3 2 8 3" xfId="11236" xr:uid="{770D57B4-DF0A-456D-99DE-C0DC8F528832}"/>
    <cellStyle name="Comma 4 3 3 2 9" xfId="4621" xr:uid="{00000000-0005-0000-0000-000085090000}"/>
    <cellStyle name="Comma 4 3 3 2 9 2" xfId="13071" xr:uid="{F226131E-6126-437D-AC9B-5D9C714E896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C25559F8-221F-475D-9D98-174F61294C5E}"/>
    <cellStyle name="Comma 4 3 3 3 2 3" xfId="11411" xr:uid="{E9BBDB9D-4F67-4A9E-83B0-3641E020BFD2}"/>
    <cellStyle name="Comma 4 3 3 3 3" xfId="5034" xr:uid="{00000000-0005-0000-0000-000089090000}"/>
    <cellStyle name="Comma 4 3 3 3 3 2" xfId="13484" xr:uid="{E5200EE7-DA63-4A55-B13F-DA8D1B9C2E0D}"/>
    <cellStyle name="Comma 4 3 3 3 4" xfId="9266" xr:uid="{A25F6C69-AE1E-4F8F-B51C-ED66F64639BD}"/>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B316C716-2CE6-493B-872D-2A25D25AA884}"/>
    <cellStyle name="Comma 4 3 3 4 2 3" xfId="11824" xr:uid="{BFD54D62-395E-4CDC-9D46-E87B2BBF8D83}"/>
    <cellStyle name="Comma 4 3 3 4 3" xfId="5447" xr:uid="{00000000-0005-0000-0000-00008D090000}"/>
    <cellStyle name="Comma 4 3 3 4 3 2" xfId="13897" xr:uid="{7BF24B4B-8D7F-48EB-90D7-B875E80D9DC7}"/>
    <cellStyle name="Comma 4 3 3 4 4" xfId="9679" xr:uid="{BD731F3D-05F8-4731-8C9D-F7B9851F703B}"/>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81E10912-B84B-4BA3-A999-EF7828881989}"/>
    <cellStyle name="Comma 4 3 3 5 2 3" xfId="12237" xr:uid="{1C0D53BE-7287-4A9C-ACD5-997FDEECBA73}"/>
    <cellStyle name="Comma 4 3 3 5 3" xfId="5860" xr:uid="{00000000-0005-0000-0000-000091090000}"/>
    <cellStyle name="Comma 4 3 3 5 3 2" xfId="14310" xr:uid="{9D59C242-F147-41AB-8631-BA7F94ED09D7}"/>
    <cellStyle name="Comma 4 3 3 5 4" xfId="10092" xr:uid="{B54E8F3B-F561-424E-83B6-01E40F1EAAD2}"/>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2D9ABE7F-D9E1-4C5B-8C63-A37C88D79006}"/>
    <cellStyle name="Comma 4 3 3 6 2 3" xfId="12650" xr:uid="{D81B2F8B-E09E-4A97-B8B4-83BFA7BBE4A1}"/>
    <cellStyle name="Comma 4 3 3 6 3" xfId="6273" xr:uid="{00000000-0005-0000-0000-000095090000}"/>
    <cellStyle name="Comma 4 3 3 6 3 2" xfId="14723" xr:uid="{9CD9CA48-CCC0-4FCA-8FBD-795FDE5D3549}"/>
    <cellStyle name="Comma 4 3 3 6 4" xfId="10505" xr:uid="{8964E159-E78A-4001-A3F6-948933078E46}"/>
    <cellStyle name="Comma 4 3 3 7" xfId="2402" xr:uid="{00000000-0005-0000-0000-000096090000}"/>
    <cellStyle name="Comma 4 3 3 7 2" xfId="6686" xr:uid="{00000000-0005-0000-0000-000097090000}"/>
    <cellStyle name="Comma 4 3 3 7 2 2" xfId="15136" xr:uid="{2DBE0455-CA89-476F-B1D5-C5ADFD95628C}"/>
    <cellStyle name="Comma 4 3 3 7 3" xfId="10918" xr:uid="{97DC570C-F598-4A59-BD48-291CCC2E5DAE}"/>
    <cellStyle name="Comma 4 3 3 8" xfId="2361" xr:uid="{00000000-0005-0000-0000-000098090000}"/>
    <cellStyle name="Comma 4 3 3 9" xfId="2780" xr:uid="{00000000-0005-0000-0000-000099090000}"/>
    <cellStyle name="Comma 4 3 3 9 2" xfId="7003" xr:uid="{00000000-0005-0000-0000-00009A090000}"/>
    <cellStyle name="Comma 4 3 3 9 2 2" xfId="15453" xr:uid="{5F18365E-7E70-4497-953E-488F397D99F6}"/>
    <cellStyle name="Comma 4 3 3 9 3" xfId="11235" xr:uid="{27ED81BD-F266-4716-A257-9E988DD5AF05}"/>
    <cellStyle name="Comma 4 3 4" xfId="151" xr:uid="{00000000-0005-0000-0000-00009B090000}"/>
    <cellStyle name="Comma 4 3 4 10" xfId="8854" xr:uid="{DC2963C5-9374-4ADF-9DD4-DD40F9102E9C}"/>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35BB161F-AD15-46CA-92B2-507CC3D50B9B}"/>
    <cellStyle name="Comma 4 3 4 2 2 3" xfId="11413" xr:uid="{B5A3A850-CA02-41FC-995F-4597EFFB01C4}"/>
    <cellStyle name="Comma 4 3 4 2 3" xfId="5036" xr:uid="{00000000-0005-0000-0000-00009F090000}"/>
    <cellStyle name="Comma 4 3 4 2 3 2" xfId="13486" xr:uid="{28F9D9CB-05ED-4BA7-85EB-6516C554BCEE}"/>
    <cellStyle name="Comma 4 3 4 2 4" xfId="9268" xr:uid="{754F89D2-E466-45DE-B75F-8AC985BB09F8}"/>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7B6C1F8C-26BB-40E1-A2CA-99FA8973B7BC}"/>
    <cellStyle name="Comma 4 3 4 3 2 3" xfId="11826" xr:uid="{1C845650-CB59-48A7-9EF0-3716624E76A6}"/>
    <cellStyle name="Comma 4 3 4 3 3" xfId="5449" xr:uid="{00000000-0005-0000-0000-0000A3090000}"/>
    <cellStyle name="Comma 4 3 4 3 3 2" xfId="13899" xr:uid="{AA9B0E1A-9270-4124-8F53-E8D282743A9D}"/>
    <cellStyle name="Comma 4 3 4 3 4" xfId="9681" xr:uid="{DAA4C23F-FECF-4682-AFE4-196D296927A8}"/>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DD6E54C1-8F9D-42E7-BF96-844189689524}"/>
    <cellStyle name="Comma 4 3 4 4 2 3" xfId="12239" xr:uid="{7721ACB9-B611-45A0-B710-1A8EB8573DC6}"/>
    <cellStyle name="Comma 4 3 4 4 3" xfId="5862" xr:uid="{00000000-0005-0000-0000-0000A7090000}"/>
    <cellStyle name="Comma 4 3 4 4 3 2" xfId="14312" xr:uid="{CC4DB1B5-21CD-42D0-9EBF-27076895B058}"/>
    <cellStyle name="Comma 4 3 4 4 4" xfId="10094" xr:uid="{12B7CF0D-7685-40ED-A2B3-6DCE72DDB045}"/>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B6B57BE9-80B7-4B60-93E8-D9FB99D86AF0}"/>
    <cellStyle name="Comma 4 3 4 5 2 3" xfId="12652" xr:uid="{39F7A327-D77B-4582-A5B4-B28A38BB548E}"/>
    <cellStyle name="Comma 4 3 4 5 3" xfId="6275" xr:uid="{00000000-0005-0000-0000-0000AB090000}"/>
    <cellStyle name="Comma 4 3 4 5 3 2" xfId="14725" xr:uid="{AC3E712A-6679-4FE7-8EB1-7CA6A02AB258}"/>
    <cellStyle name="Comma 4 3 4 5 4" xfId="10507" xr:uid="{B90B0474-E478-44BA-A589-B03BB5843127}"/>
    <cellStyle name="Comma 4 3 4 6" xfId="2404" xr:uid="{00000000-0005-0000-0000-0000AC090000}"/>
    <cellStyle name="Comma 4 3 4 6 2" xfId="6688" xr:uid="{00000000-0005-0000-0000-0000AD090000}"/>
    <cellStyle name="Comma 4 3 4 6 2 2" xfId="15138" xr:uid="{60629EBF-7786-4BB0-B0AD-89B191BB8E70}"/>
    <cellStyle name="Comma 4 3 4 6 3" xfId="10920" xr:uid="{C746D465-8E71-448D-948D-F226A58C81ED}"/>
    <cellStyle name="Comma 4 3 4 7" xfId="2700" xr:uid="{00000000-0005-0000-0000-0000AE090000}"/>
    <cellStyle name="Comma 4 3 4 8" xfId="2782" xr:uid="{00000000-0005-0000-0000-0000AF090000}"/>
    <cellStyle name="Comma 4 3 4 8 2" xfId="7005" xr:uid="{00000000-0005-0000-0000-0000B0090000}"/>
    <cellStyle name="Comma 4 3 4 8 2 2" xfId="15455" xr:uid="{0C654328-4F6E-4F25-B328-EAD274E5AEDB}"/>
    <cellStyle name="Comma 4 3 4 8 3" xfId="11237" xr:uid="{04BCA594-3759-434D-AB93-BB4339D8CC17}"/>
    <cellStyle name="Comma 4 3 4 9" xfId="4622" xr:uid="{00000000-0005-0000-0000-0000B1090000}"/>
    <cellStyle name="Comma 4 3 4 9 2" xfId="13072" xr:uid="{83499D82-C486-4701-87BB-CB12F8F5AE2D}"/>
    <cellStyle name="Comma 4 3 5" xfId="152" xr:uid="{00000000-0005-0000-0000-0000B2090000}"/>
    <cellStyle name="Comma 4 3 5 10" xfId="8855" xr:uid="{BBAF4310-362B-4E87-AF14-972DF3F2FD23}"/>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827AE78A-7C5A-469D-918F-70A3AE8D4268}"/>
    <cellStyle name="Comma 4 3 5 2 2 3" xfId="11414" xr:uid="{1FF1AFE5-3ADC-4DD1-B9DA-DB050BEB2586}"/>
    <cellStyle name="Comma 4 3 5 2 3" xfId="5037" xr:uid="{00000000-0005-0000-0000-0000B6090000}"/>
    <cellStyle name="Comma 4 3 5 2 3 2" xfId="13487" xr:uid="{DFCC8BAB-B6CD-418A-9C2A-9E65A04597DD}"/>
    <cellStyle name="Comma 4 3 5 2 4" xfId="9269" xr:uid="{FD4B74BB-995B-4F21-A9C5-97EC188E5D80}"/>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03BC6B16-3530-4174-9700-90A3A54E2F6D}"/>
    <cellStyle name="Comma 4 3 5 3 2 3" xfId="11827" xr:uid="{9BC4E15E-C471-4737-9054-494A568AAFC9}"/>
    <cellStyle name="Comma 4 3 5 3 3" xfId="5450" xr:uid="{00000000-0005-0000-0000-0000BA090000}"/>
    <cellStyle name="Comma 4 3 5 3 3 2" xfId="13900" xr:uid="{D7C165CB-C617-4464-8CD9-E8B3FB87DDF9}"/>
    <cellStyle name="Comma 4 3 5 3 4" xfId="9682" xr:uid="{F241AA34-0A92-43C1-A601-D3E61A551B20}"/>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D3AF237A-E2CA-4FC7-A9BF-9311E0C16023}"/>
    <cellStyle name="Comma 4 3 5 4 2 3" xfId="12240" xr:uid="{6E01CE61-D155-491D-B0C4-BB473E33FF2F}"/>
    <cellStyle name="Comma 4 3 5 4 3" xfId="5863" xr:uid="{00000000-0005-0000-0000-0000BE090000}"/>
    <cellStyle name="Comma 4 3 5 4 3 2" xfId="14313" xr:uid="{1EDE50DC-E649-4B07-A6DB-3D34251391B8}"/>
    <cellStyle name="Comma 4 3 5 4 4" xfId="10095" xr:uid="{EC9CC517-D5C5-44D9-BDAD-995CDC067B42}"/>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8A738168-6BF4-4E54-9592-84F2F31F9D7B}"/>
    <cellStyle name="Comma 4 3 5 5 2 3" xfId="12653" xr:uid="{56A5B026-6F95-4119-9B31-123FC9B36197}"/>
    <cellStyle name="Comma 4 3 5 5 3" xfId="6276" xr:uid="{00000000-0005-0000-0000-0000C2090000}"/>
    <cellStyle name="Comma 4 3 5 5 3 2" xfId="14726" xr:uid="{A8E697D5-F285-4CBC-BD1C-23896D52050D}"/>
    <cellStyle name="Comma 4 3 5 5 4" xfId="10508" xr:uid="{4AD3B9D4-5DA8-4FC9-870D-9F7E2FC501C6}"/>
    <cellStyle name="Comma 4 3 5 6" xfId="2405" xr:uid="{00000000-0005-0000-0000-0000C3090000}"/>
    <cellStyle name="Comma 4 3 5 6 2" xfId="6689" xr:uid="{00000000-0005-0000-0000-0000C4090000}"/>
    <cellStyle name="Comma 4 3 5 6 2 2" xfId="15139" xr:uid="{2CB0AAA7-8B44-4319-B25B-F258B5B8EF66}"/>
    <cellStyle name="Comma 4 3 5 6 3" xfId="10921" xr:uid="{C9648D42-BB29-4F46-AA46-0CC71D08C36C}"/>
    <cellStyle name="Comma 4 3 5 7" xfId="2701" xr:uid="{00000000-0005-0000-0000-0000C5090000}"/>
    <cellStyle name="Comma 4 3 5 8" xfId="2783" xr:uid="{00000000-0005-0000-0000-0000C6090000}"/>
    <cellStyle name="Comma 4 3 5 8 2" xfId="7006" xr:uid="{00000000-0005-0000-0000-0000C7090000}"/>
    <cellStyle name="Comma 4 3 5 8 2 2" xfId="15456" xr:uid="{D10DA995-0F61-4345-A373-528F07E959CD}"/>
    <cellStyle name="Comma 4 3 5 8 3" xfId="11238" xr:uid="{5AB3B3BA-F97B-414C-96CA-C64D1B61C787}"/>
    <cellStyle name="Comma 4 3 5 9" xfId="4623" xr:uid="{00000000-0005-0000-0000-0000C8090000}"/>
    <cellStyle name="Comma 4 3 5 9 2" xfId="13073" xr:uid="{07C08CA9-41CE-45B3-BD17-0ABA30038C36}"/>
    <cellStyle name="Comma 4 4" xfId="153" xr:uid="{00000000-0005-0000-0000-0000C9090000}"/>
    <cellStyle name="Comma 4 4 10" xfId="2784" xr:uid="{00000000-0005-0000-0000-0000CA090000}"/>
    <cellStyle name="Comma 4 4 10 2" xfId="7007" xr:uid="{00000000-0005-0000-0000-0000CB090000}"/>
    <cellStyle name="Comma 4 4 10 2 2" xfId="15457" xr:uid="{AAB7D777-AF21-4439-A085-5ED0C52DB860}"/>
    <cellStyle name="Comma 4 4 10 3" xfId="11239" xr:uid="{75185E3F-AA51-45E3-9F66-BFAFB0D96B4F}"/>
    <cellStyle name="Comma 4 4 11" xfId="4624" xr:uid="{00000000-0005-0000-0000-0000CC090000}"/>
    <cellStyle name="Comma 4 4 11 2" xfId="13074" xr:uid="{EA225973-D9A8-49E6-B402-3567E0C3DB00}"/>
    <cellStyle name="Comma 4 4 12" xfId="8856" xr:uid="{50F5E060-24FC-4FF0-A272-3201B80D8DBA}"/>
    <cellStyle name="Comma 4 4 2" xfId="154" xr:uid="{00000000-0005-0000-0000-0000CD090000}"/>
    <cellStyle name="Comma 4 4 2 10" xfId="4625" xr:uid="{00000000-0005-0000-0000-0000CE090000}"/>
    <cellStyle name="Comma 4 4 2 10 2" xfId="13075" xr:uid="{E744CFA8-8F3C-4186-8FC8-A6D25F97D376}"/>
    <cellStyle name="Comma 4 4 2 11" xfId="8857" xr:uid="{31123EFD-A4A9-4CC1-AC5F-E2C97C0C973A}"/>
    <cellStyle name="Comma 4 4 2 2" xfId="155" xr:uid="{00000000-0005-0000-0000-0000CF090000}"/>
    <cellStyle name="Comma 4 4 2 2 10" xfId="8858" xr:uid="{4E64408F-2126-431E-8F9F-C0E6DFEF613F}"/>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867B99B1-D275-4734-8073-0D0BA27C6A92}"/>
    <cellStyle name="Comma 4 4 2 2 2 2 3" xfId="11417" xr:uid="{5A4D8983-C85E-4F7C-BE9E-9B2D09409270}"/>
    <cellStyle name="Comma 4 4 2 2 2 3" xfId="5040" xr:uid="{00000000-0005-0000-0000-0000D3090000}"/>
    <cellStyle name="Comma 4 4 2 2 2 3 2" xfId="13490" xr:uid="{8F1AB187-5C44-4D9A-B96C-EA9D8FFBFEC1}"/>
    <cellStyle name="Comma 4 4 2 2 2 4" xfId="9272" xr:uid="{92059838-1632-46ED-8FB6-FE8FD4E6C9DD}"/>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514DF2F9-4390-4030-B6B8-4A81D469EB05}"/>
    <cellStyle name="Comma 4 4 2 2 3 2 3" xfId="11830" xr:uid="{29EB6B0C-216B-431A-809E-11860AEA016B}"/>
    <cellStyle name="Comma 4 4 2 2 3 3" xfId="5453" xr:uid="{00000000-0005-0000-0000-0000D7090000}"/>
    <cellStyle name="Comma 4 4 2 2 3 3 2" xfId="13903" xr:uid="{6519371C-B127-4861-89C3-BC6943F0943D}"/>
    <cellStyle name="Comma 4 4 2 2 3 4" xfId="9685" xr:uid="{31C267E7-2340-47E0-81E2-484B031D34E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7239C155-6E11-4CE8-AE6A-A4BB3BC84926}"/>
    <cellStyle name="Comma 4 4 2 2 4 2 3" xfId="12243" xr:uid="{1B6B44DF-6F38-4F8D-B3BB-92F9E1A46924}"/>
    <cellStyle name="Comma 4 4 2 2 4 3" xfId="5866" xr:uid="{00000000-0005-0000-0000-0000DB090000}"/>
    <cellStyle name="Comma 4 4 2 2 4 3 2" xfId="14316" xr:uid="{69488998-B393-4424-A92E-F3D81D8AB78B}"/>
    <cellStyle name="Comma 4 4 2 2 4 4" xfId="10098" xr:uid="{EF1CC9FA-8972-4060-A888-77E7429CEC2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865CAFE4-5604-426B-A71B-D63F93B8A6C4}"/>
    <cellStyle name="Comma 4 4 2 2 5 2 3" xfId="12656" xr:uid="{0EC484DF-82A0-4043-9300-0C1117DF9BCA}"/>
    <cellStyle name="Comma 4 4 2 2 5 3" xfId="6279" xr:uid="{00000000-0005-0000-0000-0000DF090000}"/>
    <cellStyle name="Comma 4 4 2 2 5 3 2" xfId="14729" xr:uid="{1948B680-D707-4D7B-8D92-153254B71296}"/>
    <cellStyle name="Comma 4 4 2 2 5 4" xfId="10511" xr:uid="{049B161F-9138-4DEF-A71F-E878394571C6}"/>
    <cellStyle name="Comma 4 4 2 2 6" xfId="2408" xr:uid="{00000000-0005-0000-0000-0000E0090000}"/>
    <cellStyle name="Comma 4 4 2 2 6 2" xfId="6692" xr:uid="{00000000-0005-0000-0000-0000E1090000}"/>
    <cellStyle name="Comma 4 4 2 2 6 2 2" xfId="15142" xr:uid="{EE39FCAA-3B21-4F0F-A3E0-A9715FACA307}"/>
    <cellStyle name="Comma 4 4 2 2 6 3" xfId="10924" xr:uid="{CD180B5A-39C5-4193-B6E9-72E2E03FA33C}"/>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C7A13454-8F7C-4261-9E9D-8B9C47EBA76F}"/>
    <cellStyle name="Comma 4 4 2 2 8 3" xfId="11241" xr:uid="{76E51CAD-BF0F-4305-93EC-8AA0B8366472}"/>
    <cellStyle name="Comma 4 4 2 2 9" xfId="4626" xr:uid="{00000000-0005-0000-0000-0000E5090000}"/>
    <cellStyle name="Comma 4 4 2 2 9 2" xfId="13076" xr:uid="{E7ECA389-2C22-4FF7-ABEE-7900BF20B8E3}"/>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811734BE-5B24-4702-93CE-BACE191F0628}"/>
    <cellStyle name="Comma 4 4 2 3 2 3" xfId="11416" xr:uid="{DB790BA2-6C10-449F-824D-1C9651BA8158}"/>
    <cellStyle name="Comma 4 4 2 3 3" xfId="5039" xr:uid="{00000000-0005-0000-0000-0000E9090000}"/>
    <cellStyle name="Comma 4 4 2 3 3 2" xfId="13489" xr:uid="{02EBA1D7-A694-484D-9A1F-619E4DE174D6}"/>
    <cellStyle name="Comma 4 4 2 3 4" xfId="9271" xr:uid="{2BB841CE-C185-4EC1-83C5-2C543E4B5F43}"/>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DA828DD2-DC6C-4D6E-B5A7-B1499F4F84B5}"/>
    <cellStyle name="Comma 4 4 2 4 2 3" xfId="11829" xr:uid="{E05963E4-BA87-45DD-830A-C9B1D6FCF97D}"/>
    <cellStyle name="Comma 4 4 2 4 3" xfId="5452" xr:uid="{00000000-0005-0000-0000-0000ED090000}"/>
    <cellStyle name="Comma 4 4 2 4 3 2" xfId="13902" xr:uid="{F156048A-6373-471C-95E0-39E98C8AF068}"/>
    <cellStyle name="Comma 4 4 2 4 4" xfId="9684" xr:uid="{B97481E7-DBBE-44EA-9AA3-DB02895329D5}"/>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6F5BD884-B241-4C29-9EB7-BA06DF01A3BA}"/>
    <cellStyle name="Comma 4 4 2 5 2 3" xfId="12242" xr:uid="{547451A0-712B-4C18-9A13-3F968DEEE615}"/>
    <cellStyle name="Comma 4 4 2 5 3" xfId="5865" xr:uid="{00000000-0005-0000-0000-0000F1090000}"/>
    <cellStyle name="Comma 4 4 2 5 3 2" xfId="14315" xr:uid="{E40DF03A-8C50-4E4E-A257-36DFDEE2F448}"/>
    <cellStyle name="Comma 4 4 2 5 4" xfId="10097" xr:uid="{43A93210-7447-47BE-9BE2-89B70D0D8476}"/>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4F761106-6CFC-4D02-81A8-648DDF68C871}"/>
    <cellStyle name="Comma 4 4 2 6 2 3" xfId="12655" xr:uid="{0EF7F750-31E6-44DD-9D74-786F5CD954B9}"/>
    <cellStyle name="Comma 4 4 2 6 3" xfId="6278" xr:uid="{00000000-0005-0000-0000-0000F5090000}"/>
    <cellStyle name="Comma 4 4 2 6 3 2" xfId="14728" xr:uid="{06028A3F-32E9-4C91-89BA-229DF911E2E5}"/>
    <cellStyle name="Comma 4 4 2 6 4" xfId="10510" xr:uid="{1598FD48-A902-4835-A11D-3A70D91790E7}"/>
    <cellStyle name="Comma 4 4 2 7" xfId="2407" xr:uid="{00000000-0005-0000-0000-0000F6090000}"/>
    <cellStyle name="Comma 4 4 2 7 2" xfId="6691" xr:uid="{00000000-0005-0000-0000-0000F7090000}"/>
    <cellStyle name="Comma 4 4 2 7 2 2" xfId="15141" xr:uid="{A4EF7CEF-26C8-47EE-A684-C59C0FC97F7D}"/>
    <cellStyle name="Comma 4 4 2 7 3" xfId="10923" xr:uid="{E239AF50-203E-4B1E-98A4-7C1D75BDC555}"/>
    <cellStyle name="Comma 4 4 2 8" xfId="2703" xr:uid="{00000000-0005-0000-0000-0000F8090000}"/>
    <cellStyle name="Comma 4 4 2 9" xfId="2785" xr:uid="{00000000-0005-0000-0000-0000F9090000}"/>
    <cellStyle name="Comma 4 4 2 9 2" xfId="7008" xr:uid="{00000000-0005-0000-0000-0000FA090000}"/>
    <cellStyle name="Comma 4 4 2 9 2 2" xfId="15458" xr:uid="{377B615C-A30D-4CD2-8CE5-1B49B3A003C4}"/>
    <cellStyle name="Comma 4 4 2 9 3" xfId="11240" xr:uid="{56A2566B-DC31-4595-A155-295965782BF2}"/>
    <cellStyle name="Comma 4 4 3" xfId="156" xr:uid="{00000000-0005-0000-0000-0000FB090000}"/>
    <cellStyle name="Comma 4 4 3 10" xfId="8859" xr:uid="{80D6BAF3-8550-4127-B430-00707C81D898}"/>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348BBA25-77E9-4B30-AF71-2495F8317F57}"/>
    <cellStyle name="Comma 4 4 3 2 2 3" xfId="11418" xr:uid="{5DA4DD48-FDF9-4E1F-8EF8-CABBC3FC57F1}"/>
    <cellStyle name="Comma 4 4 3 2 3" xfId="5041" xr:uid="{00000000-0005-0000-0000-0000FF090000}"/>
    <cellStyle name="Comma 4 4 3 2 3 2" xfId="13491" xr:uid="{A80C97D1-4672-41CD-950A-7F1386DBCA08}"/>
    <cellStyle name="Comma 4 4 3 2 4" xfId="9273" xr:uid="{3915D383-6946-402C-B920-DA606D2B0682}"/>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7BE603B7-EE0D-452B-9613-4CB515B71488}"/>
    <cellStyle name="Comma 4 4 3 3 2 3" xfId="11831" xr:uid="{7EEBCE15-0B4C-473E-B508-1892BB14D451}"/>
    <cellStyle name="Comma 4 4 3 3 3" xfId="5454" xr:uid="{00000000-0005-0000-0000-0000030A0000}"/>
    <cellStyle name="Comma 4 4 3 3 3 2" xfId="13904" xr:uid="{ECB3BAAE-92BF-44E2-AA77-3615C26A9E7C}"/>
    <cellStyle name="Comma 4 4 3 3 4" xfId="9686" xr:uid="{584D8458-A52A-409F-8145-C90ECF3C92B5}"/>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29790379-600A-41E5-A815-17D4AF14F9E9}"/>
    <cellStyle name="Comma 4 4 3 4 2 3" xfId="12244" xr:uid="{7B5423F3-B73A-4546-B51F-FFCF1075D49E}"/>
    <cellStyle name="Comma 4 4 3 4 3" xfId="5867" xr:uid="{00000000-0005-0000-0000-0000070A0000}"/>
    <cellStyle name="Comma 4 4 3 4 3 2" xfId="14317" xr:uid="{1497BA85-53A4-4817-B576-736755667D3D}"/>
    <cellStyle name="Comma 4 4 3 4 4" xfId="10099" xr:uid="{1220466C-1F28-4EC7-88C4-BC4DB6BA674D}"/>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DF56ABDB-4CBD-4B36-A678-0AFD2E273778}"/>
    <cellStyle name="Comma 4 4 3 5 2 3" xfId="12657" xr:uid="{FC4B48A9-6637-4997-BA81-B62407B60992}"/>
    <cellStyle name="Comma 4 4 3 5 3" xfId="6280" xr:uid="{00000000-0005-0000-0000-00000B0A0000}"/>
    <cellStyle name="Comma 4 4 3 5 3 2" xfId="14730" xr:uid="{D6EA1925-FB01-4F68-B4A8-D00EF1A742A7}"/>
    <cellStyle name="Comma 4 4 3 5 4" xfId="10512" xr:uid="{EAD6FD64-9D65-4674-AC28-B51C5B78B8CB}"/>
    <cellStyle name="Comma 4 4 3 6" xfId="2409" xr:uid="{00000000-0005-0000-0000-00000C0A0000}"/>
    <cellStyle name="Comma 4 4 3 6 2" xfId="6693" xr:uid="{00000000-0005-0000-0000-00000D0A0000}"/>
    <cellStyle name="Comma 4 4 3 6 2 2" xfId="15143" xr:uid="{628DDBAD-0807-49C5-B89C-6A4AE051E782}"/>
    <cellStyle name="Comma 4 4 3 6 3" xfId="10925" xr:uid="{91AC3156-C515-4F9C-84AD-5BE364EA30A3}"/>
    <cellStyle name="Comma 4 4 3 7" xfId="2705" xr:uid="{00000000-0005-0000-0000-00000E0A0000}"/>
    <cellStyle name="Comma 4 4 3 8" xfId="2787" xr:uid="{00000000-0005-0000-0000-00000F0A0000}"/>
    <cellStyle name="Comma 4 4 3 8 2" xfId="7010" xr:uid="{00000000-0005-0000-0000-0000100A0000}"/>
    <cellStyle name="Comma 4 4 3 8 2 2" xfId="15460" xr:uid="{515C74A2-0516-44DE-9298-8B4586CDC52D}"/>
    <cellStyle name="Comma 4 4 3 8 3" xfId="11242" xr:uid="{C06B3D5A-16E9-4911-9EF0-B594A5DB9BAF}"/>
    <cellStyle name="Comma 4 4 3 9" xfId="4627" xr:uid="{00000000-0005-0000-0000-0000110A0000}"/>
    <cellStyle name="Comma 4 4 3 9 2" xfId="13077" xr:uid="{E4613524-272E-4E50-9AA6-9279FDA7C232}"/>
    <cellStyle name="Comma 4 4 4" xfId="690" xr:uid="{00000000-0005-0000-0000-0000120A0000}"/>
    <cellStyle name="Comma 4 4 4 2" xfId="2961" xr:uid="{00000000-0005-0000-0000-0000130A0000}"/>
    <cellStyle name="Comma 4 4 4 2 2" xfId="7183" xr:uid="{00000000-0005-0000-0000-0000140A0000}"/>
    <cellStyle name="Comma 4 4 4 2 2 2" xfId="15633" xr:uid="{43E866E6-D4FF-4FA0-A60C-09007FCF3B70}"/>
    <cellStyle name="Comma 4 4 4 2 3" xfId="11415" xr:uid="{D3086071-4DD4-426F-AFAB-C3A321955243}"/>
    <cellStyle name="Comma 4 4 4 3" xfId="5038" xr:uid="{00000000-0005-0000-0000-0000150A0000}"/>
    <cellStyle name="Comma 4 4 4 3 2" xfId="13488" xr:uid="{BFF694EA-924A-4C3E-806C-BB93AF742273}"/>
    <cellStyle name="Comma 4 4 4 4" xfId="9270" xr:uid="{D2DDCE7C-5A25-4586-A4BF-45E1577F745E}"/>
    <cellStyle name="Comma 4 4 5" xfId="1143" xr:uid="{00000000-0005-0000-0000-0000160A0000}"/>
    <cellStyle name="Comma 4 4 5 2" xfId="3374" xr:uid="{00000000-0005-0000-0000-0000170A0000}"/>
    <cellStyle name="Comma 4 4 5 2 2" xfId="7596" xr:uid="{00000000-0005-0000-0000-0000180A0000}"/>
    <cellStyle name="Comma 4 4 5 2 2 2" xfId="16046" xr:uid="{FB8DFED7-B14C-4930-B269-AECBE99CE65F}"/>
    <cellStyle name="Comma 4 4 5 2 3" xfId="11828" xr:uid="{DEBD9AD9-87F0-4865-8139-897186F0EE34}"/>
    <cellStyle name="Comma 4 4 5 3" xfId="5451" xr:uid="{00000000-0005-0000-0000-0000190A0000}"/>
    <cellStyle name="Comma 4 4 5 3 2" xfId="13901" xr:uid="{AEBA51BA-8B4A-4C1F-9AF0-5167B49CA126}"/>
    <cellStyle name="Comma 4 4 5 4" xfId="9683" xr:uid="{4F871890-6F17-4227-9C06-B21ADA11F762}"/>
    <cellStyle name="Comma 4 4 6" xfId="1557" xr:uid="{00000000-0005-0000-0000-00001A0A0000}"/>
    <cellStyle name="Comma 4 4 6 2" xfId="3787" xr:uid="{00000000-0005-0000-0000-00001B0A0000}"/>
    <cellStyle name="Comma 4 4 6 2 2" xfId="8009" xr:uid="{00000000-0005-0000-0000-00001C0A0000}"/>
    <cellStyle name="Comma 4 4 6 2 2 2" xfId="16459" xr:uid="{8F3BE78E-1EA2-4D25-8463-BFEB0334A4DE}"/>
    <cellStyle name="Comma 4 4 6 2 3" xfId="12241" xr:uid="{F72CA26F-29C0-4F27-81DC-D7006F08C39E}"/>
    <cellStyle name="Comma 4 4 6 3" xfId="5864" xr:uid="{00000000-0005-0000-0000-00001D0A0000}"/>
    <cellStyle name="Comma 4 4 6 3 2" xfId="14314" xr:uid="{389A85C5-E09E-421D-8C62-866FA82A856B}"/>
    <cellStyle name="Comma 4 4 6 4" xfId="10096" xr:uid="{9B4A9E13-CF6C-4610-A7A7-52E2C138E573}"/>
    <cellStyle name="Comma 4 4 7" xfId="1971" xr:uid="{00000000-0005-0000-0000-00001E0A0000}"/>
    <cellStyle name="Comma 4 4 7 2" xfId="4200" xr:uid="{00000000-0005-0000-0000-00001F0A0000}"/>
    <cellStyle name="Comma 4 4 7 2 2" xfId="8422" xr:uid="{00000000-0005-0000-0000-0000200A0000}"/>
    <cellStyle name="Comma 4 4 7 2 2 2" xfId="16872" xr:uid="{7664EEF0-6D0C-49B6-9C4E-AE5D91204DA2}"/>
    <cellStyle name="Comma 4 4 7 2 3" xfId="12654" xr:uid="{3ECAAA3B-2F1D-47C2-A887-66AD9DF0E6DE}"/>
    <cellStyle name="Comma 4 4 7 3" xfId="6277" xr:uid="{00000000-0005-0000-0000-0000210A0000}"/>
    <cellStyle name="Comma 4 4 7 3 2" xfId="14727" xr:uid="{5B464193-F4C6-4317-94AD-EB183E513BF4}"/>
    <cellStyle name="Comma 4 4 7 4" xfId="10509" xr:uid="{598088F8-A9C3-443B-83D9-34EA7340DCBB}"/>
    <cellStyle name="Comma 4 4 8" xfId="2406" xr:uid="{00000000-0005-0000-0000-0000220A0000}"/>
    <cellStyle name="Comma 4 4 8 2" xfId="6690" xr:uid="{00000000-0005-0000-0000-0000230A0000}"/>
    <cellStyle name="Comma 4 4 8 2 2" xfId="15140" xr:uid="{C1082977-3E44-4441-9C78-2830A11E9256}"/>
    <cellStyle name="Comma 4 4 8 3" xfId="10922" xr:uid="{725B376A-A2AA-4A13-BF15-A1BA2024E5C6}"/>
    <cellStyle name="Comma 4 4 9" xfId="2702" xr:uid="{00000000-0005-0000-0000-0000240A0000}"/>
    <cellStyle name="Comma 4 5" xfId="157" xr:uid="{00000000-0005-0000-0000-0000250A0000}"/>
    <cellStyle name="Comma 4 5 10" xfId="4628" xr:uid="{00000000-0005-0000-0000-0000260A0000}"/>
    <cellStyle name="Comma 4 5 10 2" xfId="13078" xr:uid="{81CEB7C9-A61F-41E3-9CE1-52619D3AE79F}"/>
    <cellStyle name="Comma 4 5 11" xfId="8860" xr:uid="{144FC8A4-CF4F-489E-A27A-7824C0B6D91F}"/>
    <cellStyle name="Comma 4 5 2" xfId="158" xr:uid="{00000000-0005-0000-0000-0000270A0000}"/>
    <cellStyle name="Comma 4 5 2 10" xfId="8861" xr:uid="{88D5DAB0-6DF0-4C65-8E45-BEACFDCBAAB6}"/>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FBB946D1-D557-4202-A26F-4005E4003CB9}"/>
    <cellStyle name="Comma 4 5 2 2 2 3" xfId="11420" xr:uid="{9E23E974-D2EA-4D83-BB94-9DFCDB914765}"/>
    <cellStyle name="Comma 4 5 2 2 3" xfId="5043" xr:uid="{00000000-0005-0000-0000-00002B0A0000}"/>
    <cellStyle name="Comma 4 5 2 2 3 2" xfId="13493" xr:uid="{E82FD337-59A4-4DDF-AA8D-27D7E2F27F64}"/>
    <cellStyle name="Comma 4 5 2 2 4" xfId="9275" xr:uid="{737E9950-A581-455E-B13C-2F18E5364A2F}"/>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FE258E2C-A6F1-463E-AEFE-107526D12D40}"/>
    <cellStyle name="Comma 4 5 2 3 2 3" xfId="11833" xr:uid="{F737952C-F712-463B-B1F2-7B1CDB935E4E}"/>
    <cellStyle name="Comma 4 5 2 3 3" xfId="5456" xr:uid="{00000000-0005-0000-0000-00002F0A0000}"/>
    <cellStyle name="Comma 4 5 2 3 3 2" xfId="13906" xr:uid="{D5EE57D6-742F-4484-8FE2-0A5A4D408164}"/>
    <cellStyle name="Comma 4 5 2 3 4" xfId="9688" xr:uid="{79F7E1F8-D607-4271-9709-1F5249427110}"/>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90F6CD11-5C32-472B-A895-D2F8BE734DDF}"/>
    <cellStyle name="Comma 4 5 2 4 2 3" xfId="12246" xr:uid="{81FC6E19-4151-4239-BF3F-10236E5EF836}"/>
    <cellStyle name="Comma 4 5 2 4 3" xfId="5869" xr:uid="{00000000-0005-0000-0000-0000330A0000}"/>
    <cellStyle name="Comma 4 5 2 4 3 2" xfId="14319" xr:uid="{F2DCB978-43C7-43AB-8D22-10BF91B1C236}"/>
    <cellStyle name="Comma 4 5 2 4 4" xfId="10101" xr:uid="{63B3ABF5-EB0F-4A93-80D3-1E8F744A8D47}"/>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190BF623-A9E8-4C03-8D20-82BA857908CA}"/>
    <cellStyle name="Comma 4 5 2 5 2 3" xfId="12659" xr:uid="{B1A25096-09C2-4DE1-94C5-934B2C4675EF}"/>
    <cellStyle name="Comma 4 5 2 5 3" xfId="6282" xr:uid="{00000000-0005-0000-0000-0000370A0000}"/>
    <cellStyle name="Comma 4 5 2 5 3 2" xfId="14732" xr:uid="{31812A7D-4549-480E-BC02-97732D72CA4C}"/>
    <cellStyle name="Comma 4 5 2 5 4" xfId="10514" xr:uid="{D9B3B26B-DE70-441E-AC14-52CA35F31F21}"/>
    <cellStyle name="Comma 4 5 2 6" xfId="2411" xr:uid="{00000000-0005-0000-0000-0000380A0000}"/>
    <cellStyle name="Comma 4 5 2 6 2" xfId="6695" xr:uid="{00000000-0005-0000-0000-0000390A0000}"/>
    <cellStyle name="Comma 4 5 2 6 2 2" xfId="15145" xr:uid="{9C2949C8-E41E-4BF4-B329-7D6AD6BE12BB}"/>
    <cellStyle name="Comma 4 5 2 6 3" xfId="10927" xr:uid="{F4BE6A26-26DE-4021-9C5D-47068C3B0F8B}"/>
    <cellStyle name="Comma 4 5 2 7" xfId="2707" xr:uid="{00000000-0005-0000-0000-00003A0A0000}"/>
    <cellStyle name="Comma 4 5 2 8" xfId="2789" xr:uid="{00000000-0005-0000-0000-00003B0A0000}"/>
    <cellStyle name="Comma 4 5 2 8 2" xfId="7012" xr:uid="{00000000-0005-0000-0000-00003C0A0000}"/>
    <cellStyle name="Comma 4 5 2 8 2 2" xfId="15462" xr:uid="{A26F8A76-5445-4FE3-A9EE-90B2FD47070B}"/>
    <cellStyle name="Comma 4 5 2 8 3" xfId="11244" xr:uid="{DA9D75B5-FB4E-48AC-98E3-EC3C6D479E2F}"/>
    <cellStyle name="Comma 4 5 2 9" xfId="4629" xr:uid="{00000000-0005-0000-0000-00003D0A0000}"/>
    <cellStyle name="Comma 4 5 2 9 2" xfId="13079" xr:uid="{6C3A191D-BFEC-46C5-89C1-DE918E55D189}"/>
    <cellStyle name="Comma 4 5 3" xfId="694" xr:uid="{00000000-0005-0000-0000-00003E0A0000}"/>
    <cellStyle name="Comma 4 5 3 2" xfId="2965" xr:uid="{00000000-0005-0000-0000-00003F0A0000}"/>
    <cellStyle name="Comma 4 5 3 2 2" xfId="7187" xr:uid="{00000000-0005-0000-0000-0000400A0000}"/>
    <cellStyle name="Comma 4 5 3 2 2 2" xfId="15637" xr:uid="{0A5DEA13-5E86-471C-B8E3-C8B62AAB7373}"/>
    <cellStyle name="Comma 4 5 3 2 3" xfId="11419" xr:uid="{2FE3F75C-7E98-4E58-893A-08EFB4820D76}"/>
    <cellStyle name="Comma 4 5 3 3" xfId="5042" xr:uid="{00000000-0005-0000-0000-0000410A0000}"/>
    <cellStyle name="Comma 4 5 3 3 2" xfId="13492" xr:uid="{418386ED-5C46-47EC-9A09-067BF51C75C6}"/>
    <cellStyle name="Comma 4 5 3 4" xfId="9274" xr:uid="{13D9A118-51FA-48E1-A2F6-AAFC5CA4FA73}"/>
    <cellStyle name="Comma 4 5 4" xfId="1147" xr:uid="{00000000-0005-0000-0000-0000420A0000}"/>
    <cellStyle name="Comma 4 5 4 2" xfId="3378" xr:uid="{00000000-0005-0000-0000-0000430A0000}"/>
    <cellStyle name="Comma 4 5 4 2 2" xfId="7600" xr:uid="{00000000-0005-0000-0000-0000440A0000}"/>
    <cellStyle name="Comma 4 5 4 2 2 2" xfId="16050" xr:uid="{F445508F-82B9-411D-8FF6-711D41B0DB6A}"/>
    <cellStyle name="Comma 4 5 4 2 3" xfId="11832" xr:uid="{FB0BF61A-DF25-4663-93C5-1A51AFE0B1B1}"/>
    <cellStyle name="Comma 4 5 4 3" xfId="5455" xr:uid="{00000000-0005-0000-0000-0000450A0000}"/>
    <cellStyle name="Comma 4 5 4 3 2" xfId="13905" xr:uid="{232669D4-AB07-42A8-873B-0D6BD8499C8C}"/>
    <cellStyle name="Comma 4 5 4 4" xfId="9687" xr:uid="{284E0BA7-77A2-4C8C-B2CE-A0B07DF116E9}"/>
    <cellStyle name="Comma 4 5 5" xfId="1561" xr:uid="{00000000-0005-0000-0000-0000460A0000}"/>
    <cellStyle name="Comma 4 5 5 2" xfId="3791" xr:uid="{00000000-0005-0000-0000-0000470A0000}"/>
    <cellStyle name="Comma 4 5 5 2 2" xfId="8013" xr:uid="{00000000-0005-0000-0000-0000480A0000}"/>
    <cellStyle name="Comma 4 5 5 2 2 2" xfId="16463" xr:uid="{3FF120C9-1F30-4E1F-A309-55942A22B60E}"/>
    <cellStyle name="Comma 4 5 5 2 3" xfId="12245" xr:uid="{E82AB445-7A42-46CE-B865-161C010809F8}"/>
    <cellStyle name="Comma 4 5 5 3" xfId="5868" xr:uid="{00000000-0005-0000-0000-0000490A0000}"/>
    <cellStyle name="Comma 4 5 5 3 2" xfId="14318" xr:uid="{A501D5AA-98A0-4108-83ED-9D777719C160}"/>
    <cellStyle name="Comma 4 5 5 4" xfId="10100" xr:uid="{78ECB37B-6A52-4292-8258-81E8E7108027}"/>
    <cellStyle name="Comma 4 5 6" xfId="1975" xr:uid="{00000000-0005-0000-0000-00004A0A0000}"/>
    <cellStyle name="Comma 4 5 6 2" xfId="4204" xr:uid="{00000000-0005-0000-0000-00004B0A0000}"/>
    <cellStyle name="Comma 4 5 6 2 2" xfId="8426" xr:uid="{00000000-0005-0000-0000-00004C0A0000}"/>
    <cellStyle name="Comma 4 5 6 2 2 2" xfId="16876" xr:uid="{3E5E2C1A-8C08-485E-B179-05343C66996A}"/>
    <cellStyle name="Comma 4 5 6 2 3" xfId="12658" xr:uid="{4283836E-6BE5-423A-BC7C-E5BC34EC41FC}"/>
    <cellStyle name="Comma 4 5 6 3" xfId="6281" xr:uid="{00000000-0005-0000-0000-00004D0A0000}"/>
    <cellStyle name="Comma 4 5 6 3 2" xfId="14731" xr:uid="{3F4464FF-1511-47E7-B58A-1C686DC31469}"/>
    <cellStyle name="Comma 4 5 6 4" xfId="10513" xr:uid="{84817152-412F-419A-ACF9-9AAD44563D86}"/>
    <cellStyle name="Comma 4 5 7" xfId="2410" xr:uid="{00000000-0005-0000-0000-00004E0A0000}"/>
    <cellStyle name="Comma 4 5 7 2" xfId="6694" xr:uid="{00000000-0005-0000-0000-00004F0A0000}"/>
    <cellStyle name="Comma 4 5 7 2 2" xfId="15144" xr:uid="{E5EFB28E-D59E-46D8-9DAC-1CC17E862424}"/>
    <cellStyle name="Comma 4 5 7 3" xfId="10926" xr:uid="{080EC7AA-2B04-40B5-9F10-605A48F29CC4}"/>
    <cellStyle name="Comma 4 5 8" xfId="2706" xr:uid="{00000000-0005-0000-0000-0000500A0000}"/>
    <cellStyle name="Comma 4 5 9" xfId="2788" xr:uid="{00000000-0005-0000-0000-0000510A0000}"/>
    <cellStyle name="Comma 4 5 9 2" xfId="7011" xr:uid="{00000000-0005-0000-0000-0000520A0000}"/>
    <cellStyle name="Comma 4 5 9 2 2" xfId="15461" xr:uid="{4FFC1B72-892D-451E-8D4E-5B95DD7821C2}"/>
    <cellStyle name="Comma 4 5 9 3" xfId="11243" xr:uid="{ACB83389-8B7C-4199-8D03-9343AA11EF8A}"/>
    <cellStyle name="Comma 4 6" xfId="159" xr:uid="{00000000-0005-0000-0000-0000530A0000}"/>
    <cellStyle name="Comma 4 6 10" xfId="8862" xr:uid="{5393630C-D4BD-4CD1-9B5E-077BB357BBCB}"/>
    <cellStyle name="Comma 4 6 2" xfId="696" xr:uid="{00000000-0005-0000-0000-0000540A0000}"/>
    <cellStyle name="Comma 4 6 2 2" xfId="2967" xr:uid="{00000000-0005-0000-0000-0000550A0000}"/>
    <cellStyle name="Comma 4 6 2 2 2" xfId="7189" xr:uid="{00000000-0005-0000-0000-0000560A0000}"/>
    <cellStyle name="Comma 4 6 2 2 2 2" xfId="15639" xr:uid="{280FFF1F-CFF4-4038-970F-C7FFA0391762}"/>
    <cellStyle name="Comma 4 6 2 2 3" xfId="11421" xr:uid="{CE7E678E-1FC2-473B-8F16-46E71A912633}"/>
    <cellStyle name="Comma 4 6 2 3" xfId="5044" xr:uid="{00000000-0005-0000-0000-0000570A0000}"/>
    <cellStyle name="Comma 4 6 2 3 2" xfId="13494" xr:uid="{29B4FB4B-082F-4C0B-87DB-C4EC4F10B93B}"/>
    <cellStyle name="Comma 4 6 2 4" xfId="9276" xr:uid="{FC32DAAB-4DFC-432A-8530-589DD759579B}"/>
    <cellStyle name="Comma 4 6 3" xfId="1149" xr:uid="{00000000-0005-0000-0000-0000580A0000}"/>
    <cellStyle name="Comma 4 6 3 2" xfId="3380" xr:uid="{00000000-0005-0000-0000-0000590A0000}"/>
    <cellStyle name="Comma 4 6 3 2 2" xfId="7602" xr:uid="{00000000-0005-0000-0000-00005A0A0000}"/>
    <cellStyle name="Comma 4 6 3 2 2 2" xfId="16052" xr:uid="{6053E455-9D4B-481C-882C-E123A0D0F8D6}"/>
    <cellStyle name="Comma 4 6 3 2 3" xfId="11834" xr:uid="{F2355C18-25DF-4B30-9E54-F2D84935A06C}"/>
    <cellStyle name="Comma 4 6 3 3" xfId="5457" xr:uid="{00000000-0005-0000-0000-00005B0A0000}"/>
    <cellStyle name="Comma 4 6 3 3 2" xfId="13907" xr:uid="{430FF1C5-65F8-4828-A7A6-227FAE3C6BD8}"/>
    <cellStyle name="Comma 4 6 3 4" xfId="9689" xr:uid="{C427A58D-476E-4BD9-A6B5-05D71CFF3C08}"/>
    <cellStyle name="Comma 4 6 4" xfId="1563" xr:uid="{00000000-0005-0000-0000-00005C0A0000}"/>
    <cellStyle name="Comma 4 6 4 2" xfId="3793" xr:uid="{00000000-0005-0000-0000-00005D0A0000}"/>
    <cellStyle name="Comma 4 6 4 2 2" xfId="8015" xr:uid="{00000000-0005-0000-0000-00005E0A0000}"/>
    <cellStyle name="Comma 4 6 4 2 2 2" xfId="16465" xr:uid="{9F863CB4-4996-4A76-A9DE-A53A59D5C8DB}"/>
    <cellStyle name="Comma 4 6 4 2 3" xfId="12247" xr:uid="{F5FD3CE1-1404-4E09-850A-20D72E2F0584}"/>
    <cellStyle name="Comma 4 6 4 3" xfId="5870" xr:uid="{00000000-0005-0000-0000-00005F0A0000}"/>
    <cellStyle name="Comma 4 6 4 3 2" xfId="14320" xr:uid="{83BA63C0-5416-4E7D-9A99-D03A353DE79B}"/>
    <cellStyle name="Comma 4 6 4 4" xfId="10102" xr:uid="{79567BB5-E12B-4A6D-89FB-C2F7ECCEF605}"/>
    <cellStyle name="Comma 4 6 5" xfId="1977" xr:uid="{00000000-0005-0000-0000-0000600A0000}"/>
    <cellStyle name="Comma 4 6 5 2" xfId="4206" xr:uid="{00000000-0005-0000-0000-0000610A0000}"/>
    <cellStyle name="Comma 4 6 5 2 2" xfId="8428" xr:uid="{00000000-0005-0000-0000-0000620A0000}"/>
    <cellStyle name="Comma 4 6 5 2 2 2" xfId="16878" xr:uid="{AA183B3E-2038-4D34-99FB-CA9E649F7562}"/>
    <cellStyle name="Comma 4 6 5 2 3" xfId="12660" xr:uid="{147A69CA-C71E-4DB2-8BEF-4A8A0C7B0FD4}"/>
    <cellStyle name="Comma 4 6 5 3" xfId="6283" xr:uid="{00000000-0005-0000-0000-0000630A0000}"/>
    <cellStyle name="Comma 4 6 5 3 2" xfId="14733" xr:uid="{9C3248FC-6130-4A37-9006-CF3E2BBB1B60}"/>
    <cellStyle name="Comma 4 6 5 4" xfId="10515" xr:uid="{1451E628-3468-4132-AA56-CAD4EF746AC9}"/>
    <cellStyle name="Comma 4 6 6" xfId="2412" xr:uid="{00000000-0005-0000-0000-0000640A0000}"/>
    <cellStyle name="Comma 4 6 6 2" xfId="6696" xr:uid="{00000000-0005-0000-0000-0000650A0000}"/>
    <cellStyle name="Comma 4 6 6 2 2" xfId="15146" xr:uid="{E4CD5CEB-4913-486D-9C4B-2C3B3FE169DC}"/>
    <cellStyle name="Comma 4 6 6 3" xfId="10928" xr:uid="{16C34659-E5EE-441D-A755-8E0552558155}"/>
    <cellStyle name="Comma 4 6 7" xfId="2708" xr:uid="{00000000-0005-0000-0000-0000660A0000}"/>
    <cellStyle name="Comma 4 6 8" xfId="2790" xr:uid="{00000000-0005-0000-0000-0000670A0000}"/>
    <cellStyle name="Comma 4 6 8 2" xfId="7013" xr:uid="{00000000-0005-0000-0000-0000680A0000}"/>
    <cellStyle name="Comma 4 6 8 2 2" xfId="15463" xr:uid="{E2E4591A-3E63-4184-847C-F7194626245A}"/>
    <cellStyle name="Comma 4 6 8 3" xfId="11245" xr:uid="{F49AA51C-6BEC-4051-A640-19237B93EDAE}"/>
    <cellStyle name="Comma 4 6 9" xfId="4630" xr:uid="{00000000-0005-0000-0000-0000690A0000}"/>
    <cellStyle name="Comma 4 6 9 2" xfId="13080" xr:uid="{398BDA93-E353-461F-A5D0-C66B6B2DBEF1}"/>
    <cellStyle name="Comma 4 7" xfId="160" xr:uid="{00000000-0005-0000-0000-00006A0A0000}"/>
    <cellStyle name="Comma 4 7 10" xfId="8863" xr:uid="{ADBC3167-B0C1-42F7-A2BA-5A90968C0715}"/>
    <cellStyle name="Comma 4 7 2" xfId="697" xr:uid="{00000000-0005-0000-0000-00006B0A0000}"/>
    <cellStyle name="Comma 4 7 2 2" xfId="2968" xr:uid="{00000000-0005-0000-0000-00006C0A0000}"/>
    <cellStyle name="Comma 4 7 2 2 2" xfId="7190" xr:uid="{00000000-0005-0000-0000-00006D0A0000}"/>
    <cellStyle name="Comma 4 7 2 2 2 2" xfId="15640" xr:uid="{3ACE621B-3471-4212-8A08-DCE9B699CBFE}"/>
    <cellStyle name="Comma 4 7 2 2 3" xfId="11422" xr:uid="{2DA73EDF-AE86-4E1E-93CD-C19045975BF9}"/>
    <cellStyle name="Comma 4 7 2 3" xfId="5045" xr:uid="{00000000-0005-0000-0000-00006E0A0000}"/>
    <cellStyle name="Comma 4 7 2 3 2" xfId="13495" xr:uid="{A5F101EF-CE49-47F4-880B-47CE43899D53}"/>
    <cellStyle name="Comma 4 7 2 4" xfId="9277" xr:uid="{75E447DD-C158-49B9-AAEA-943246B34023}"/>
    <cellStyle name="Comma 4 7 3" xfId="1150" xr:uid="{00000000-0005-0000-0000-00006F0A0000}"/>
    <cellStyle name="Comma 4 7 3 2" xfId="3381" xr:uid="{00000000-0005-0000-0000-0000700A0000}"/>
    <cellStyle name="Comma 4 7 3 2 2" xfId="7603" xr:uid="{00000000-0005-0000-0000-0000710A0000}"/>
    <cellStyle name="Comma 4 7 3 2 2 2" xfId="16053" xr:uid="{BA66A9A2-5E71-4377-ADFF-D42AF3BCDD23}"/>
    <cellStyle name="Comma 4 7 3 2 3" xfId="11835" xr:uid="{F2861045-7195-4A1A-9A73-0AE2EEFD7966}"/>
    <cellStyle name="Comma 4 7 3 3" xfId="5458" xr:uid="{00000000-0005-0000-0000-0000720A0000}"/>
    <cellStyle name="Comma 4 7 3 3 2" xfId="13908" xr:uid="{09B20DEE-57D0-4C6B-AF31-83FA0B302675}"/>
    <cellStyle name="Comma 4 7 3 4" xfId="9690" xr:uid="{3141E1D0-9D2E-4EDE-AF8C-0D17BD028069}"/>
    <cellStyle name="Comma 4 7 4" xfId="1564" xr:uid="{00000000-0005-0000-0000-0000730A0000}"/>
    <cellStyle name="Comma 4 7 4 2" xfId="3794" xr:uid="{00000000-0005-0000-0000-0000740A0000}"/>
    <cellStyle name="Comma 4 7 4 2 2" xfId="8016" xr:uid="{00000000-0005-0000-0000-0000750A0000}"/>
    <cellStyle name="Comma 4 7 4 2 2 2" xfId="16466" xr:uid="{D43FE26E-970A-404D-9963-523708B3EFF6}"/>
    <cellStyle name="Comma 4 7 4 2 3" xfId="12248" xr:uid="{6E361A72-9811-4FAA-8F90-E6955E657651}"/>
    <cellStyle name="Comma 4 7 4 3" xfId="5871" xr:uid="{00000000-0005-0000-0000-0000760A0000}"/>
    <cellStyle name="Comma 4 7 4 3 2" xfId="14321" xr:uid="{B5CC97AF-50F6-48ED-9646-EB2717A06F1D}"/>
    <cellStyle name="Comma 4 7 4 4" xfId="10103" xr:uid="{7B2469B9-AA39-404D-8D3E-81252CC4F51F}"/>
    <cellStyle name="Comma 4 7 5" xfId="1978" xr:uid="{00000000-0005-0000-0000-0000770A0000}"/>
    <cellStyle name="Comma 4 7 5 2" xfId="4207" xr:uid="{00000000-0005-0000-0000-0000780A0000}"/>
    <cellStyle name="Comma 4 7 5 2 2" xfId="8429" xr:uid="{00000000-0005-0000-0000-0000790A0000}"/>
    <cellStyle name="Comma 4 7 5 2 2 2" xfId="16879" xr:uid="{5CCC453B-998F-4D2F-83CD-4833D2C9B80F}"/>
    <cellStyle name="Comma 4 7 5 2 3" xfId="12661" xr:uid="{735D14FE-7F3F-41C6-821E-99BCB76F64AD}"/>
    <cellStyle name="Comma 4 7 5 3" xfId="6284" xr:uid="{00000000-0005-0000-0000-00007A0A0000}"/>
    <cellStyle name="Comma 4 7 5 3 2" xfId="14734" xr:uid="{CF9269B5-73EE-4D17-980B-173DB943F05C}"/>
    <cellStyle name="Comma 4 7 5 4" xfId="10516" xr:uid="{3F010E53-AA17-4980-810C-0E9548BDFE58}"/>
    <cellStyle name="Comma 4 7 6" xfId="2413" xr:uid="{00000000-0005-0000-0000-00007B0A0000}"/>
    <cellStyle name="Comma 4 7 6 2" xfId="6697" xr:uid="{00000000-0005-0000-0000-00007C0A0000}"/>
    <cellStyle name="Comma 4 7 6 2 2" xfId="15147" xr:uid="{75F64A76-EFF8-4FB5-B39B-7F58F4BD1099}"/>
    <cellStyle name="Comma 4 7 6 3" xfId="10929" xr:uid="{75EB1728-BCC9-48BB-A823-6F3763032274}"/>
    <cellStyle name="Comma 4 7 7" xfId="2709" xr:uid="{00000000-0005-0000-0000-00007D0A0000}"/>
    <cellStyle name="Comma 4 7 8" xfId="2791" xr:uid="{00000000-0005-0000-0000-00007E0A0000}"/>
    <cellStyle name="Comma 4 7 8 2" xfId="7014" xr:uid="{00000000-0005-0000-0000-00007F0A0000}"/>
    <cellStyle name="Comma 4 7 8 2 2" xfId="15464" xr:uid="{17674BD7-6D50-445A-860E-3C6E4A37A984}"/>
    <cellStyle name="Comma 4 7 8 3" xfId="11246" xr:uid="{999AE1A0-9144-4845-B13F-F856CED49283}"/>
    <cellStyle name="Comma 4 7 9" xfId="4631" xr:uid="{00000000-0005-0000-0000-0000800A0000}"/>
    <cellStyle name="Comma 4 7 9 2" xfId="13081" xr:uid="{A049C764-6056-4768-8AF4-26AABAE4468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FCB58EB4-3B55-4E1D-A079-482A5E994A2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8E7DA81F-389E-405E-B766-E32EA51AFFA9}"/>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635D3E81-48A7-4E82-A506-A25BB13860BD}"/>
    <cellStyle name="Currency 14 3 2 2 2 3" xfId="17179" xr:uid="{8D25B5F1-B23E-47F9-AEE7-5BE18F964165}"/>
    <cellStyle name="Currency 14 3 2 2 3" xfId="17175" xr:uid="{BDFD317B-FC07-4672-82E3-C625E1B33935}"/>
    <cellStyle name="Currency 14 3 2 3" xfId="17172" xr:uid="{334D88F7-5302-4953-AADD-AACDC8418E94}"/>
    <cellStyle name="Currency 14 3 3" xfId="17169" xr:uid="{689DD88F-BE52-48D5-B072-0EE56E6D2CD3}"/>
    <cellStyle name="Currency 14 4" xfId="12952" xr:uid="{0BAAF146-5351-490B-AADC-2FC5B9347E7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9FDACB56-88B6-4B38-A5C9-DEE5F611A9D6}"/>
    <cellStyle name="Currency 3 2 2 10 3" xfId="11247" xr:uid="{05886848-2E90-4D66-B763-596638C34416}"/>
    <cellStyle name="Currency 3 2 2 11" xfId="4632" xr:uid="{00000000-0005-0000-0000-0000A50A0000}"/>
    <cellStyle name="Currency 3 2 2 11 2" xfId="13082" xr:uid="{BED33E1D-0B9E-40A9-B87E-09B9FDCE9265}"/>
    <cellStyle name="Currency 3 2 2 12" xfId="8864" xr:uid="{A52AFACF-6A9E-40C3-9179-069F49DF53CD}"/>
    <cellStyle name="Currency 3 2 2 2" xfId="179" xr:uid="{00000000-0005-0000-0000-0000A60A0000}"/>
    <cellStyle name="Currency 3 2 2 2 10" xfId="4633" xr:uid="{00000000-0005-0000-0000-0000A70A0000}"/>
    <cellStyle name="Currency 3 2 2 2 10 2" xfId="13083" xr:uid="{CC07D3F3-1827-4A55-99C2-5B7FEEF8CFDC}"/>
    <cellStyle name="Currency 3 2 2 2 11" xfId="8865" xr:uid="{24B66754-4BAD-4475-9F4D-6E6342FC3876}"/>
    <cellStyle name="Currency 3 2 2 2 2" xfId="180" xr:uid="{00000000-0005-0000-0000-0000A80A0000}"/>
    <cellStyle name="Currency 3 2 2 2 2 10" xfId="8866" xr:uid="{39233A3C-561E-4F19-AF37-53896CC67F9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68459F5D-E0B8-4CDC-B772-D25A66E5D7A4}"/>
    <cellStyle name="Currency 3 2 2 2 2 2 2 3" xfId="11425" xr:uid="{6E9895C3-7DD1-43B9-9A0B-C5D45AE31079}"/>
    <cellStyle name="Currency 3 2 2 2 2 2 3" xfId="5048" xr:uid="{00000000-0005-0000-0000-0000AC0A0000}"/>
    <cellStyle name="Currency 3 2 2 2 2 2 3 2" xfId="13498" xr:uid="{5EB64E3E-F9E5-465A-92B9-12D51EB50447}"/>
    <cellStyle name="Currency 3 2 2 2 2 2 4" xfId="9280" xr:uid="{677FB8DD-3D9F-4310-92C0-07F6065B4008}"/>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37972F4E-89BB-4789-A53C-52DED3EB339B}"/>
    <cellStyle name="Currency 3 2 2 2 2 3 2 3" xfId="11838" xr:uid="{2EF84B5C-8C56-4D99-A6B7-2EB1AA78A727}"/>
    <cellStyle name="Currency 3 2 2 2 2 3 3" xfId="5461" xr:uid="{00000000-0005-0000-0000-0000B00A0000}"/>
    <cellStyle name="Currency 3 2 2 2 2 3 3 2" xfId="13911" xr:uid="{5864E876-99E9-4267-8835-3AD604B3F78C}"/>
    <cellStyle name="Currency 3 2 2 2 2 3 4" xfId="9693" xr:uid="{C06A2A31-08B2-407A-8F97-13C7F033823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F3509E5F-F66A-4F61-A5DC-2B62DDEFF9BB}"/>
    <cellStyle name="Currency 3 2 2 2 2 4 2 3" xfId="12251" xr:uid="{38186AE8-A925-4FD8-8AD0-CE97C75C00C7}"/>
    <cellStyle name="Currency 3 2 2 2 2 4 3" xfId="5874" xr:uid="{00000000-0005-0000-0000-0000B40A0000}"/>
    <cellStyle name="Currency 3 2 2 2 2 4 3 2" xfId="14324" xr:uid="{EF736D60-4864-4EE6-B80F-BA76169F2027}"/>
    <cellStyle name="Currency 3 2 2 2 2 4 4" xfId="10106" xr:uid="{948ADA5F-7CE0-4526-AC09-14058DCA4C64}"/>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13C94A00-FE5C-48C4-B091-262488332B1F}"/>
    <cellStyle name="Currency 3 2 2 2 2 5 2 3" xfId="12664" xr:uid="{3CAC0AC6-2633-4FCD-B219-E9DA20899D3E}"/>
    <cellStyle name="Currency 3 2 2 2 2 5 3" xfId="6287" xr:uid="{00000000-0005-0000-0000-0000B80A0000}"/>
    <cellStyle name="Currency 3 2 2 2 2 5 3 2" xfId="14737" xr:uid="{78945F99-E317-48FB-B3AD-EDF14974DDE1}"/>
    <cellStyle name="Currency 3 2 2 2 2 5 4" xfId="10519" xr:uid="{7C7A9C10-5941-4808-BADE-000F0764A1F2}"/>
    <cellStyle name="Currency 3 2 2 2 2 6" xfId="2416" xr:uid="{00000000-0005-0000-0000-0000B90A0000}"/>
    <cellStyle name="Currency 3 2 2 2 2 6 2" xfId="6700" xr:uid="{00000000-0005-0000-0000-0000BA0A0000}"/>
    <cellStyle name="Currency 3 2 2 2 2 6 2 2" xfId="15150" xr:uid="{516FD70E-5033-4922-B6C8-E92A751461F6}"/>
    <cellStyle name="Currency 3 2 2 2 2 6 3" xfId="10932" xr:uid="{D41D6D50-A613-4FF8-A2FB-9B549CAE0CD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930FE674-94AE-43BF-99E7-0570BA380239}"/>
    <cellStyle name="Currency 3 2 2 2 2 8 3" xfId="11249" xr:uid="{99C96B6A-9186-4ACC-9F1D-67B282A73141}"/>
    <cellStyle name="Currency 3 2 2 2 2 9" xfId="4634" xr:uid="{00000000-0005-0000-0000-0000BE0A0000}"/>
    <cellStyle name="Currency 3 2 2 2 2 9 2" xfId="13084" xr:uid="{53ECE2C3-7761-44E9-BEBD-6E6A172AFF3B}"/>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6D968740-2BD4-439A-8DD3-583F5AD2CD8A}"/>
    <cellStyle name="Currency 3 2 2 2 3 2 3" xfId="11424" xr:uid="{B54A9FC1-B575-4310-B737-2D4E8761B9CB}"/>
    <cellStyle name="Currency 3 2 2 2 3 3" xfId="5047" xr:uid="{00000000-0005-0000-0000-0000C20A0000}"/>
    <cellStyle name="Currency 3 2 2 2 3 3 2" xfId="13497" xr:uid="{B1F6DC02-C08A-496C-AA2E-912898563256}"/>
    <cellStyle name="Currency 3 2 2 2 3 4" xfId="9279" xr:uid="{C477EFB4-56E4-4D5A-BDBD-31E42C7B09A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86866CC1-7C5E-470D-B82E-1D19306E44C8}"/>
    <cellStyle name="Currency 3 2 2 2 4 2 3" xfId="11837" xr:uid="{16B137D6-3009-4C17-B571-F0DF4E8E13D2}"/>
    <cellStyle name="Currency 3 2 2 2 4 3" xfId="5460" xr:uid="{00000000-0005-0000-0000-0000C60A0000}"/>
    <cellStyle name="Currency 3 2 2 2 4 3 2" xfId="13910" xr:uid="{2515159A-A48F-4156-BE0D-7F1E908F65F5}"/>
    <cellStyle name="Currency 3 2 2 2 4 4" xfId="9692" xr:uid="{0D7C828A-5FD6-4729-8582-11A00E8A9677}"/>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9E4E2F95-D96A-4BC6-B085-85E1A92EDCD5}"/>
    <cellStyle name="Currency 3 2 2 2 5 2 3" xfId="12250" xr:uid="{2870F50F-0229-457F-BA8F-C4C8D777212B}"/>
    <cellStyle name="Currency 3 2 2 2 5 3" xfId="5873" xr:uid="{00000000-0005-0000-0000-0000CA0A0000}"/>
    <cellStyle name="Currency 3 2 2 2 5 3 2" xfId="14323" xr:uid="{2C74C7CF-09C7-4764-9EDD-8AAE63C5E08E}"/>
    <cellStyle name="Currency 3 2 2 2 5 4" xfId="10105" xr:uid="{5F977FBC-5972-4010-8A65-0D8915AC05FF}"/>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88378400-E613-4070-9EC8-8EABA45A1A4C}"/>
    <cellStyle name="Currency 3 2 2 2 6 2 3" xfId="12663" xr:uid="{DC3DACC2-FA4E-4FBB-80F2-0ED798373ACE}"/>
    <cellStyle name="Currency 3 2 2 2 6 3" xfId="6286" xr:uid="{00000000-0005-0000-0000-0000CE0A0000}"/>
    <cellStyle name="Currency 3 2 2 2 6 3 2" xfId="14736" xr:uid="{CD332B5D-E78C-49DE-950F-BF5BB965BE1B}"/>
    <cellStyle name="Currency 3 2 2 2 6 4" xfId="10518" xr:uid="{1480EC49-3106-46C6-B8CF-CD6E262B3FFD}"/>
    <cellStyle name="Currency 3 2 2 2 7" xfId="2415" xr:uid="{00000000-0005-0000-0000-0000CF0A0000}"/>
    <cellStyle name="Currency 3 2 2 2 7 2" xfId="6699" xr:uid="{00000000-0005-0000-0000-0000D00A0000}"/>
    <cellStyle name="Currency 3 2 2 2 7 2 2" xfId="15149" xr:uid="{FA7F93DD-9F27-4C93-B0EF-DF27D607EF18}"/>
    <cellStyle name="Currency 3 2 2 2 7 3" xfId="10931" xr:uid="{C7F88630-25C4-4D36-8797-2BE042782111}"/>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E6DF26AA-001A-49DD-BD9D-2945B51714C5}"/>
    <cellStyle name="Currency 3 2 2 2 9 3" xfId="11248" xr:uid="{CA76F8F8-3741-460B-92D2-710CAA88F564}"/>
    <cellStyle name="Currency 3 2 2 3" xfId="181" xr:uid="{00000000-0005-0000-0000-0000D40A0000}"/>
    <cellStyle name="Currency 3 2 2 3 10" xfId="8867" xr:uid="{06533F56-C873-4E2A-84A0-F629AE6432AD}"/>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F75F6D83-2B51-45BE-9793-F593138D8B9B}"/>
    <cellStyle name="Currency 3 2 2 3 2 2 3" xfId="11426" xr:uid="{556744F2-4111-4392-9F87-E154625BD2ED}"/>
    <cellStyle name="Currency 3 2 2 3 2 3" xfId="5049" xr:uid="{00000000-0005-0000-0000-0000D80A0000}"/>
    <cellStyle name="Currency 3 2 2 3 2 3 2" xfId="13499" xr:uid="{0669EE5A-E3DB-479C-8F5D-4F96FCF51C9B}"/>
    <cellStyle name="Currency 3 2 2 3 2 4" xfId="9281" xr:uid="{60B0DDC2-C7E5-418F-985C-415444F36DFD}"/>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F096D299-01EF-4F3B-A751-BD82E57EFFB7}"/>
    <cellStyle name="Currency 3 2 2 3 3 2 3" xfId="11839" xr:uid="{F0C434F7-1F4E-4097-BCA9-1175B12BDD9C}"/>
    <cellStyle name="Currency 3 2 2 3 3 3" xfId="5462" xr:uid="{00000000-0005-0000-0000-0000DC0A0000}"/>
    <cellStyle name="Currency 3 2 2 3 3 3 2" xfId="13912" xr:uid="{5E25526D-4E7E-42B9-B205-4E6228190308}"/>
    <cellStyle name="Currency 3 2 2 3 3 4" xfId="9694" xr:uid="{31F6F202-3BB9-4E49-AD04-96124EE37B3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58F3027B-6283-464E-80E4-4FE49B96809A}"/>
    <cellStyle name="Currency 3 2 2 3 4 2 3" xfId="12252" xr:uid="{A4E3FD4D-FEF2-418D-BE7F-AD6AD15004D1}"/>
    <cellStyle name="Currency 3 2 2 3 4 3" xfId="5875" xr:uid="{00000000-0005-0000-0000-0000E00A0000}"/>
    <cellStyle name="Currency 3 2 2 3 4 3 2" xfId="14325" xr:uid="{254354D6-F750-4AF5-AD44-0EEAF86CA247}"/>
    <cellStyle name="Currency 3 2 2 3 4 4" xfId="10107" xr:uid="{3A8253A8-ECF0-4685-AFB7-2150B0D574DD}"/>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89684FE4-7EC0-45E1-B717-A1A0527D01FE}"/>
    <cellStyle name="Currency 3 2 2 3 5 2 3" xfId="12665" xr:uid="{ED839EAD-8840-44BA-9C4C-274E2C46175C}"/>
    <cellStyle name="Currency 3 2 2 3 5 3" xfId="6288" xr:uid="{00000000-0005-0000-0000-0000E40A0000}"/>
    <cellStyle name="Currency 3 2 2 3 5 3 2" xfId="14738" xr:uid="{6EC8C7F5-AA48-46C6-81D8-B9AD75474AF6}"/>
    <cellStyle name="Currency 3 2 2 3 5 4" xfId="10520" xr:uid="{31C5AA47-20DD-4D19-8ADF-CD4EFF9E19F1}"/>
    <cellStyle name="Currency 3 2 2 3 6" xfId="2417" xr:uid="{00000000-0005-0000-0000-0000E50A0000}"/>
    <cellStyle name="Currency 3 2 2 3 6 2" xfId="6701" xr:uid="{00000000-0005-0000-0000-0000E60A0000}"/>
    <cellStyle name="Currency 3 2 2 3 6 2 2" xfId="15151" xr:uid="{5E25D1B2-6F84-493A-9338-DC25080C144C}"/>
    <cellStyle name="Currency 3 2 2 3 6 3" xfId="10933" xr:uid="{160E0293-4FD4-449E-8487-7CF81C0FC399}"/>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24F85B2E-6021-43BC-8AEB-321168E50FDB}"/>
    <cellStyle name="Currency 3 2 2 3 8 3" xfId="11250" xr:uid="{653A63C2-7700-4CA4-A1A5-680D50B08882}"/>
    <cellStyle name="Currency 3 2 2 3 9" xfId="4635" xr:uid="{00000000-0005-0000-0000-0000EA0A0000}"/>
    <cellStyle name="Currency 3 2 2 3 9 2" xfId="13085" xr:uid="{17C0D9CA-A92E-4823-B450-177C8BD836C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1DB58656-AB95-4957-80AA-0C9A5F8B82EF}"/>
    <cellStyle name="Currency 3 2 2 4 2 3" xfId="11423" xr:uid="{6D963CAB-E878-4787-BBF8-D31B7646DB45}"/>
    <cellStyle name="Currency 3 2 2 4 3" xfId="5046" xr:uid="{00000000-0005-0000-0000-0000EE0A0000}"/>
    <cellStyle name="Currency 3 2 2 4 3 2" xfId="13496" xr:uid="{EC287A30-3AAC-47C4-8015-7223EF58DADF}"/>
    <cellStyle name="Currency 3 2 2 4 4" xfId="9278" xr:uid="{A508B8E8-2481-4360-A9D9-8E06097482A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82EBDE10-7AA0-4AC6-82AC-AD9116ED4E85}"/>
    <cellStyle name="Currency 3 2 2 5 2 3" xfId="11836" xr:uid="{552FDAB3-BCC8-4622-A85E-7EAE87E46365}"/>
    <cellStyle name="Currency 3 2 2 5 3" xfId="5459" xr:uid="{00000000-0005-0000-0000-0000F20A0000}"/>
    <cellStyle name="Currency 3 2 2 5 3 2" xfId="13909" xr:uid="{6B146B5E-7843-4763-828F-0B076D93085D}"/>
    <cellStyle name="Currency 3 2 2 5 4" xfId="9691" xr:uid="{10F743EB-4B8C-4252-8D84-A9D7B1EBDA7A}"/>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9696AFA7-9B86-47E3-93FA-0DCD038B467E}"/>
    <cellStyle name="Currency 3 2 2 6 2 3" xfId="12249" xr:uid="{D9641F14-BC67-4630-9A2C-E10FCFF28F6F}"/>
    <cellStyle name="Currency 3 2 2 6 3" xfId="5872" xr:uid="{00000000-0005-0000-0000-0000F60A0000}"/>
    <cellStyle name="Currency 3 2 2 6 3 2" xfId="14322" xr:uid="{0945F0B2-B608-4B15-BDF1-43FB5F71073A}"/>
    <cellStyle name="Currency 3 2 2 6 4" xfId="10104" xr:uid="{51294BE1-C3BA-47E8-AEBE-84429FF44905}"/>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9DACA6A9-51FE-4560-970D-07D20A1B2DD7}"/>
    <cellStyle name="Currency 3 2 2 7 2 3" xfId="12662" xr:uid="{8118411F-25D2-4DA8-A923-4401FAAE7D42}"/>
    <cellStyle name="Currency 3 2 2 7 3" xfId="6285" xr:uid="{00000000-0005-0000-0000-0000FA0A0000}"/>
    <cellStyle name="Currency 3 2 2 7 3 2" xfId="14735" xr:uid="{006E1A4A-A3F8-4588-8565-A18853B6E8FD}"/>
    <cellStyle name="Currency 3 2 2 7 4" xfId="10517" xr:uid="{9CFD3600-79E7-4532-BF29-2B98CD9F910D}"/>
    <cellStyle name="Currency 3 2 2 8" xfId="2414" xr:uid="{00000000-0005-0000-0000-0000FB0A0000}"/>
    <cellStyle name="Currency 3 2 2 8 2" xfId="6698" xr:uid="{00000000-0005-0000-0000-0000FC0A0000}"/>
    <cellStyle name="Currency 3 2 2 8 2 2" xfId="15148" xr:uid="{686FC610-B774-4ED7-8A25-CA94F8DC0F83}"/>
    <cellStyle name="Currency 3 2 2 8 3" xfId="10930" xr:uid="{94FE880C-BDFE-49C6-B287-720539CE85C2}"/>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3769029B-C8B3-499D-9142-7E02273FE03C}"/>
    <cellStyle name="Currency 3 2 3 11" xfId="8868" xr:uid="{D29C0A4F-EDE0-4D4D-BB2A-31E08E0C10D7}"/>
    <cellStyle name="Currency 3 2 3 2" xfId="183" xr:uid="{00000000-0005-0000-0000-0000000B0000}"/>
    <cellStyle name="Currency 3 2 3 2 10" xfId="8869" xr:uid="{65DA11FA-EF81-4553-9322-725C20AA52E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69877D53-6997-4A34-A38C-BA560C28E574}"/>
    <cellStyle name="Currency 3 2 3 2 2 2 3" xfId="11428" xr:uid="{15554961-EC4A-466C-BC56-A555FDBF2B7E}"/>
    <cellStyle name="Currency 3 2 3 2 2 3" xfId="5051" xr:uid="{00000000-0005-0000-0000-0000040B0000}"/>
    <cellStyle name="Currency 3 2 3 2 2 3 2" xfId="13501" xr:uid="{4E3C525E-91CD-4FDA-9B09-79B9E4242F44}"/>
    <cellStyle name="Currency 3 2 3 2 2 4" xfId="9283" xr:uid="{FE447C9F-654C-4F08-91E6-C169AF0D6D55}"/>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7DEE7AB7-8B65-4A5F-84E7-F0FC981BCA9C}"/>
    <cellStyle name="Currency 3 2 3 2 3 2 3" xfId="11841" xr:uid="{B7631BD3-2741-4C06-A0C3-E0FA3680658B}"/>
    <cellStyle name="Currency 3 2 3 2 3 3" xfId="5464" xr:uid="{00000000-0005-0000-0000-0000080B0000}"/>
    <cellStyle name="Currency 3 2 3 2 3 3 2" xfId="13914" xr:uid="{06B1CC9B-9F30-460B-9635-E689CA033DE6}"/>
    <cellStyle name="Currency 3 2 3 2 3 4" xfId="9696" xr:uid="{D3818859-B3FC-44A7-B220-FB0513948F3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61C32F54-F5CD-4AB3-9BE7-B8D9C84EF175}"/>
    <cellStyle name="Currency 3 2 3 2 4 2 3" xfId="12254" xr:uid="{8DABD170-EBB3-4212-B856-01E89D906208}"/>
    <cellStyle name="Currency 3 2 3 2 4 3" xfId="5877" xr:uid="{00000000-0005-0000-0000-00000C0B0000}"/>
    <cellStyle name="Currency 3 2 3 2 4 3 2" xfId="14327" xr:uid="{6D5FFC80-ED76-4249-AE44-2CCC680BC84D}"/>
    <cellStyle name="Currency 3 2 3 2 4 4" xfId="10109" xr:uid="{0B08E08F-0300-4ABF-93E6-C779FEF144B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85C136C3-90A7-4E3B-B9A0-AE2490E76BB5}"/>
    <cellStyle name="Currency 3 2 3 2 5 2 3" xfId="12667" xr:uid="{B06DBA09-BF74-41A2-A526-1386B036F1A5}"/>
    <cellStyle name="Currency 3 2 3 2 5 3" xfId="6290" xr:uid="{00000000-0005-0000-0000-0000100B0000}"/>
    <cellStyle name="Currency 3 2 3 2 5 3 2" xfId="14740" xr:uid="{A7A96678-9D07-4D51-8407-08C9E6C946D7}"/>
    <cellStyle name="Currency 3 2 3 2 5 4" xfId="10522" xr:uid="{C7349626-A21D-4FA8-92E6-E11150C7C38B}"/>
    <cellStyle name="Currency 3 2 3 2 6" xfId="2419" xr:uid="{00000000-0005-0000-0000-0000110B0000}"/>
    <cellStyle name="Currency 3 2 3 2 6 2" xfId="6703" xr:uid="{00000000-0005-0000-0000-0000120B0000}"/>
    <cellStyle name="Currency 3 2 3 2 6 2 2" xfId="15153" xr:uid="{81D2BA7B-CE3A-434F-B507-3DE48CE83159}"/>
    <cellStyle name="Currency 3 2 3 2 6 3" xfId="10935" xr:uid="{135A6ABE-DD87-4BEB-B97E-8BDD49E802DC}"/>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5EA713B5-0F66-4409-BF18-EE7C9E38CB09}"/>
    <cellStyle name="Currency 3 2 3 2 8 3" xfId="11252" xr:uid="{F40C0113-2C13-41A6-A884-7DFC4429F89F}"/>
    <cellStyle name="Currency 3 2 3 2 9" xfId="4637" xr:uid="{00000000-0005-0000-0000-0000160B0000}"/>
    <cellStyle name="Currency 3 2 3 2 9 2" xfId="13087" xr:uid="{1CAB9673-5774-483E-97F1-A0D26F3C08F1}"/>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CBCDAB15-1341-4299-A7D5-D942F7E7F5D5}"/>
    <cellStyle name="Currency 3 2 3 3 2 3" xfId="11427" xr:uid="{F7414E1F-651D-4900-B357-68FA1CA165EF}"/>
    <cellStyle name="Currency 3 2 3 3 3" xfId="5050" xr:uid="{00000000-0005-0000-0000-00001A0B0000}"/>
    <cellStyle name="Currency 3 2 3 3 3 2" xfId="13500" xr:uid="{B8EBDB4A-6A2A-4CBF-B960-91926B5E9781}"/>
    <cellStyle name="Currency 3 2 3 3 4" xfId="9282" xr:uid="{8E48EC19-F230-4B1C-A5C7-90C7357EC21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C82690A5-771B-4808-A163-0ED6A4DC8F5F}"/>
    <cellStyle name="Currency 3 2 3 4 2 3" xfId="11840" xr:uid="{2E69D6EF-3222-4C2B-9AD6-5CC172391E83}"/>
    <cellStyle name="Currency 3 2 3 4 3" xfId="5463" xr:uid="{00000000-0005-0000-0000-00001E0B0000}"/>
    <cellStyle name="Currency 3 2 3 4 3 2" xfId="13913" xr:uid="{46F0CFCC-0079-40B7-9C39-26F3357A17A2}"/>
    <cellStyle name="Currency 3 2 3 4 4" xfId="9695" xr:uid="{9338B968-E0F5-4B1C-A2B3-6DB157B372F6}"/>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15ACE4D4-E1C3-49E2-B049-78BA02AAB320}"/>
    <cellStyle name="Currency 3 2 3 5 2 3" xfId="12253" xr:uid="{31953557-1E98-4650-ACEC-B1A399270E78}"/>
    <cellStyle name="Currency 3 2 3 5 3" xfId="5876" xr:uid="{00000000-0005-0000-0000-0000220B0000}"/>
    <cellStyle name="Currency 3 2 3 5 3 2" xfId="14326" xr:uid="{3520C907-A4EB-4413-82AD-C1328D3A9154}"/>
    <cellStyle name="Currency 3 2 3 5 4" xfId="10108" xr:uid="{5B0B1179-90EA-4FF4-B005-3DAFC5FA135A}"/>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DF4BFF95-5015-4E1A-9DD7-AB003BFD50C8}"/>
    <cellStyle name="Currency 3 2 3 6 2 3" xfId="12666" xr:uid="{D1E8E3D9-D670-43D3-B15C-FF2E3DF3F382}"/>
    <cellStyle name="Currency 3 2 3 6 3" xfId="6289" xr:uid="{00000000-0005-0000-0000-0000260B0000}"/>
    <cellStyle name="Currency 3 2 3 6 3 2" xfId="14739" xr:uid="{D8AB1E27-3CCF-4199-BE95-BF44B8822045}"/>
    <cellStyle name="Currency 3 2 3 6 4" xfId="10521" xr:uid="{433675A8-6717-40F4-AF79-2C154F6E5830}"/>
    <cellStyle name="Currency 3 2 3 7" xfId="2418" xr:uid="{00000000-0005-0000-0000-0000270B0000}"/>
    <cellStyle name="Currency 3 2 3 7 2" xfId="6702" xr:uid="{00000000-0005-0000-0000-0000280B0000}"/>
    <cellStyle name="Currency 3 2 3 7 2 2" xfId="15152" xr:uid="{76A0207A-6EF7-4188-B6EE-41969F8D9458}"/>
    <cellStyle name="Currency 3 2 3 7 3" xfId="10934" xr:uid="{57C0E296-C3D2-4E06-82AF-1356FABD9366}"/>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0A710396-3808-4AB0-BD67-13A9DF9CCA1B}"/>
    <cellStyle name="Currency 3 2 3 9 3" xfId="11251" xr:uid="{070D1EC3-9B7A-4B1F-809A-498128D65296}"/>
    <cellStyle name="Currency 3 2 4" xfId="184" xr:uid="{00000000-0005-0000-0000-00002C0B0000}"/>
    <cellStyle name="Currency 3 2 4 10" xfId="8870" xr:uid="{17E2DD1E-4870-4FF4-9F7A-4D2B4A3C37C3}"/>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3CAC3559-D561-4586-85DE-B094EDA4D8FA}"/>
    <cellStyle name="Currency 3 2 4 2 2 3" xfId="11429" xr:uid="{C1034310-B459-4095-AA68-61F1EF7D740B}"/>
    <cellStyle name="Currency 3 2 4 2 3" xfId="5052" xr:uid="{00000000-0005-0000-0000-0000300B0000}"/>
    <cellStyle name="Currency 3 2 4 2 3 2" xfId="13502" xr:uid="{9A2DB04B-537F-4AAF-BFFC-C4FD1AF217C1}"/>
    <cellStyle name="Currency 3 2 4 2 4" xfId="9284" xr:uid="{5DD4C118-8C11-43FC-B8F8-217C46C9F129}"/>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5389B77C-0E6C-448D-AF57-205F5DF007A3}"/>
    <cellStyle name="Currency 3 2 4 3 2 3" xfId="11842" xr:uid="{4CCAE233-AC35-4861-B9F2-BF9D736161D2}"/>
    <cellStyle name="Currency 3 2 4 3 3" xfId="5465" xr:uid="{00000000-0005-0000-0000-0000340B0000}"/>
    <cellStyle name="Currency 3 2 4 3 3 2" xfId="13915" xr:uid="{06204071-0766-48CD-9A33-37CC5BAA389E}"/>
    <cellStyle name="Currency 3 2 4 3 4" xfId="9697" xr:uid="{4070E3AB-D4EE-41DD-870D-4D1F46DB2FA2}"/>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3313BF07-80DA-4962-A7B2-B7A92E62489A}"/>
    <cellStyle name="Currency 3 2 4 4 2 3" xfId="12255" xr:uid="{D744C460-90F0-4AB7-93EC-2B74B8E54016}"/>
    <cellStyle name="Currency 3 2 4 4 3" xfId="5878" xr:uid="{00000000-0005-0000-0000-0000380B0000}"/>
    <cellStyle name="Currency 3 2 4 4 3 2" xfId="14328" xr:uid="{DC80A2B5-4552-453C-B909-8050B79B7E54}"/>
    <cellStyle name="Currency 3 2 4 4 4" xfId="10110" xr:uid="{269B9B8B-1D98-4C2E-B456-4CDD0419D13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F84471EB-0B53-467C-81FF-4B5FC548D36D}"/>
    <cellStyle name="Currency 3 2 4 5 2 3" xfId="12668" xr:uid="{9C48FB75-1FC2-4E9F-AC69-1BF427567AFB}"/>
    <cellStyle name="Currency 3 2 4 5 3" xfId="6291" xr:uid="{00000000-0005-0000-0000-00003C0B0000}"/>
    <cellStyle name="Currency 3 2 4 5 3 2" xfId="14741" xr:uid="{5FEA8AC6-CBE7-4C0B-B009-E6E9DF35C723}"/>
    <cellStyle name="Currency 3 2 4 5 4" xfId="10523" xr:uid="{FEA4B424-28D5-4659-B5C5-962EF234B182}"/>
    <cellStyle name="Currency 3 2 4 6" xfId="2420" xr:uid="{00000000-0005-0000-0000-00003D0B0000}"/>
    <cellStyle name="Currency 3 2 4 6 2" xfId="6704" xr:uid="{00000000-0005-0000-0000-00003E0B0000}"/>
    <cellStyle name="Currency 3 2 4 6 2 2" xfId="15154" xr:uid="{4BAD527A-C344-4C77-82E2-F693872FDE24}"/>
    <cellStyle name="Currency 3 2 4 6 3" xfId="10936" xr:uid="{79BAFAA5-7DD1-438B-8E0F-8DA5E9F385E3}"/>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54C1DD08-14CF-4A32-B217-55CE597B9B87}"/>
    <cellStyle name="Currency 3 2 4 8 3" xfId="11253" xr:uid="{31D02D04-2736-41DE-8BF0-1E49949C0914}"/>
    <cellStyle name="Currency 3 2 4 9" xfId="4638" xr:uid="{00000000-0005-0000-0000-0000420B0000}"/>
    <cellStyle name="Currency 3 2 4 9 2" xfId="13088" xr:uid="{0FB242E2-2B32-45B4-9215-A90F7E1924B1}"/>
    <cellStyle name="Currency 3 2 5" xfId="185" xr:uid="{00000000-0005-0000-0000-0000430B0000}"/>
    <cellStyle name="Currency 3 2 5 10" xfId="8871" xr:uid="{AB1099CB-9C06-444B-91C3-FD3CF8CCF24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C40FD57C-A5B0-4370-9366-645E8A3F420D}"/>
    <cellStyle name="Currency 3 2 5 2 2 3" xfId="11430" xr:uid="{F35E25AD-E5BF-47EF-BA1A-97E1EE2225BF}"/>
    <cellStyle name="Currency 3 2 5 2 3" xfId="5053" xr:uid="{00000000-0005-0000-0000-0000470B0000}"/>
    <cellStyle name="Currency 3 2 5 2 3 2" xfId="13503" xr:uid="{AAAEE4D0-B63F-486B-86AE-B9DAE974F863}"/>
    <cellStyle name="Currency 3 2 5 2 4" xfId="9285" xr:uid="{9A2FF740-413E-4392-983E-E293801F6C84}"/>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51851B8B-5750-4180-86C3-6D7F9E471F01}"/>
    <cellStyle name="Currency 3 2 5 3 2 3" xfId="11843" xr:uid="{AC1F8CFB-6DE9-4533-B114-B95CAD64E564}"/>
    <cellStyle name="Currency 3 2 5 3 3" xfId="5466" xr:uid="{00000000-0005-0000-0000-00004B0B0000}"/>
    <cellStyle name="Currency 3 2 5 3 3 2" xfId="13916" xr:uid="{5446359D-B8AC-4CE4-96D2-04DC26DE198F}"/>
    <cellStyle name="Currency 3 2 5 3 4" xfId="9698" xr:uid="{6F181244-56F6-45B4-82C5-D5DC6CC1AAA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4619A521-A04E-470F-80D2-4E51578EB4F8}"/>
    <cellStyle name="Currency 3 2 5 4 2 3" xfId="12256" xr:uid="{18A26826-E42A-49D3-80AC-E7288749EE0F}"/>
    <cellStyle name="Currency 3 2 5 4 3" xfId="5879" xr:uid="{00000000-0005-0000-0000-00004F0B0000}"/>
    <cellStyle name="Currency 3 2 5 4 3 2" xfId="14329" xr:uid="{59098341-60AB-4012-800F-B1754EEFF3CE}"/>
    <cellStyle name="Currency 3 2 5 4 4" xfId="10111" xr:uid="{AF6B7861-2402-4F0B-A1F8-33DD22C70112}"/>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C8FCA4AD-5522-4BF9-8857-00E9B442DF7E}"/>
    <cellStyle name="Currency 3 2 5 5 2 3" xfId="12669" xr:uid="{F8BC1E12-6120-4170-B7CC-1F3FE58FD5D5}"/>
    <cellStyle name="Currency 3 2 5 5 3" xfId="6292" xr:uid="{00000000-0005-0000-0000-0000530B0000}"/>
    <cellStyle name="Currency 3 2 5 5 3 2" xfId="14742" xr:uid="{899599F9-B8E5-4D29-AD83-751B3E66804B}"/>
    <cellStyle name="Currency 3 2 5 5 4" xfId="10524" xr:uid="{3B03DC5D-455D-47BF-8753-94DB45D658F1}"/>
    <cellStyle name="Currency 3 2 5 6" xfId="2421" xr:uid="{00000000-0005-0000-0000-0000540B0000}"/>
    <cellStyle name="Currency 3 2 5 6 2" xfId="6705" xr:uid="{00000000-0005-0000-0000-0000550B0000}"/>
    <cellStyle name="Currency 3 2 5 6 2 2" xfId="15155" xr:uid="{4C9058B9-39A2-4B4C-B376-E36115AB3160}"/>
    <cellStyle name="Currency 3 2 5 6 3" xfId="10937" xr:uid="{17552623-BF5A-40C9-8DF5-305C5C1FB38A}"/>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D0A24F40-41C8-4678-80B4-1366CCB9B43C}"/>
    <cellStyle name="Currency 3 2 5 8 3" xfId="11254" xr:uid="{3A0E86F7-50D8-413B-8F21-FBBD012E23DE}"/>
    <cellStyle name="Currency 3 2 5 9" xfId="4639" xr:uid="{00000000-0005-0000-0000-0000590B0000}"/>
    <cellStyle name="Currency 3 2 5 9 2" xfId="13089" xr:uid="{2B8F666B-D7A8-4ABA-99E1-11B982DA8CF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B6C56B0C-1213-40DE-AD8A-D2B76A60435D}"/>
    <cellStyle name="Currency 5 2 2 2 10 3" xfId="11255" xr:uid="{C28F2C59-4319-4539-99C4-A5CE7AE2F77A}"/>
    <cellStyle name="Currency 5 2 2 2 11" xfId="4640" xr:uid="{00000000-0005-0000-0000-00006C0B0000}"/>
    <cellStyle name="Currency 5 2 2 2 11 2" xfId="13090" xr:uid="{228150D3-2AC1-4771-B94A-BA30A8747B04}"/>
    <cellStyle name="Currency 5 2 2 2 12" xfId="8872" xr:uid="{AC1A9C2F-F901-4E4F-ACCD-7745FABAF55F}"/>
    <cellStyle name="Currency 5 2 2 2 2" xfId="197" xr:uid="{00000000-0005-0000-0000-00006D0B0000}"/>
    <cellStyle name="Currency 5 2 2 2 2 10" xfId="4641" xr:uid="{00000000-0005-0000-0000-00006E0B0000}"/>
    <cellStyle name="Currency 5 2 2 2 2 10 2" xfId="13091" xr:uid="{334EB0CF-FB94-4188-A02F-DB48A3A08009}"/>
    <cellStyle name="Currency 5 2 2 2 2 11" xfId="8873" xr:uid="{1CA2E238-869E-4ECC-ABD0-7A0D3CAA78AA}"/>
    <cellStyle name="Currency 5 2 2 2 2 2" xfId="198" xr:uid="{00000000-0005-0000-0000-00006F0B0000}"/>
    <cellStyle name="Currency 5 2 2 2 2 2 10" xfId="8874" xr:uid="{52F258D7-953B-4778-9291-FEB48E521CB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ADFA5B57-8E08-40FC-80D3-B7916582A2DF}"/>
    <cellStyle name="Currency 5 2 2 2 2 2 2 2 3" xfId="11433" xr:uid="{E9DEE4B2-C762-41B1-B056-0A5F4FA1986F}"/>
    <cellStyle name="Currency 5 2 2 2 2 2 2 3" xfId="5056" xr:uid="{00000000-0005-0000-0000-0000730B0000}"/>
    <cellStyle name="Currency 5 2 2 2 2 2 2 3 2" xfId="13506" xr:uid="{B4FD1C7D-DCEA-4FC0-968C-47CAEC60467C}"/>
    <cellStyle name="Currency 5 2 2 2 2 2 2 4" xfId="9288" xr:uid="{816A0C19-090F-42EA-8830-6D5AB5DCEDB6}"/>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0872EB7F-C416-40B1-9BC9-F74332EF89B3}"/>
    <cellStyle name="Currency 5 2 2 2 2 2 3 2 3" xfId="11846" xr:uid="{389893C4-2CCA-4EBC-8892-359AC0A9327D}"/>
    <cellStyle name="Currency 5 2 2 2 2 2 3 3" xfId="5469" xr:uid="{00000000-0005-0000-0000-0000770B0000}"/>
    <cellStyle name="Currency 5 2 2 2 2 2 3 3 2" xfId="13919" xr:uid="{57DA4A4D-04B3-4448-83FB-DC9B4729242D}"/>
    <cellStyle name="Currency 5 2 2 2 2 2 3 4" xfId="9701" xr:uid="{4E735711-3FC1-4912-89A3-B1EDB277E0E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F1090B52-2E66-4DB7-8268-B7E245E8E7CD}"/>
    <cellStyle name="Currency 5 2 2 2 2 2 4 2 3" xfId="12259" xr:uid="{D6913BC8-F160-42F9-BBFA-4F9B740719CC}"/>
    <cellStyle name="Currency 5 2 2 2 2 2 4 3" xfId="5882" xr:uid="{00000000-0005-0000-0000-00007B0B0000}"/>
    <cellStyle name="Currency 5 2 2 2 2 2 4 3 2" xfId="14332" xr:uid="{AE78349A-28BD-41A0-8533-2633F6D977BC}"/>
    <cellStyle name="Currency 5 2 2 2 2 2 4 4" xfId="10114" xr:uid="{AC641658-3E1A-4E5D-A681-9AA413AB2796}"/>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08A6DD0E-3FC0-4BC5-8AC7-3F1E9A9F661A}"/>
    <cellStyle name="Currency 5 2 2 2 2 2 5 2 3" xfId="12672" xr:uid="{017F1E54-59DA-4363-9AA2-8FFC1BB62866}"/>
    <cellStyle name="Currency 5 2 2 2 2 2 5 3" xfId="6295" xr:uid="{00000000-0005-0000-0000-00007F0B0000}"/>
    <cellStyle name="Currency 5 2 2 2 2 2 5 3 2" xfId="14745" xr:uid="{0CCABD9B-85B6-49B4-B95F-97AD9FE5929B}"/>
    <cellStyle name="Currency 5 2 2 2 2 2 5 4" xfId="10527" xr:uid="{972C6B8D-0459-4D49-BFBA-07C503EC6B92}"/>
    <cellStyle name="Currency 5 2 2 2 2 2 6" xfId="2424" xr:uid="{00000000-0005-0000-0000-0000800B0000}"/>
    <cellStyle name="Currency 5 2 2 2 2 2 6 2" xfId="6708" xr:uid="{00000000-0005-0000-0000-0000810B0000}"/>
    <cellStyle name="Currency 5 2 2 2 2 2 6 2 2" xfId="15158" xr:uid="{A69A0FC1-54CA-4F3B-BD83-FCC28E0A3217}"/>
    <cellStyle name="Currency 5 2 2 2 2 2 6 3" xfId="10940" xr:uid="{14205081-3A78-4DFE-B75B-3D4D9F65C26D}"/>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164F14F3-BA39-4AEA-9D31-8DD2694FC586}"/>
    <cellStyle name="Currency 5 2 2 2 2 2 8 3" xfId="11257" xr:uid="{8735ECCB-3324-4EED-87F6-17C9B261E875}"/>
    <cellStyle name="Currency 5 2 2 2 2 2 9" xfId="4642" xr:uid="{00000000-0005-0000-0000-0000850B0000}"/>
    <cellStyle name="Currency 5 2 2 2 2 2 9 2" xfId="13092" xr:uid="{77B22AA8-FD7E-4375-AEB7-8523CB16695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9E017833-180A-4E2D-AA56-B980754801C0}"/>
    <cellStyle name="Currency 5 2 2 2 2 3 2 3" xfId="11432" xr:uid="{2FCE1371-0FA2-48C7-8FAA-2F062307C097}"/>
    <cellStyle name="Currency 5 2 2 2 2 3 3" xfId="5055" xr:uid="{00000000-0005-0000-0000-0000890B0000}"/>
    <cellStyle name="Currency 5 2 2 2 2 3 3 2" xfId="13505" xr:uid="{11A5E40B-7F03-4648-B112-09229DC14111}"/>
    <cellStyle name="Currency 5 2 2 2 2 3 4" xfId="9287" xr:uid="{BAE4CDB3-627E-458E-AC2B-F19392FE576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16274ED4-9C01-44E6-A90B-316638687401}"/>
    <cellStyle name="Currency 5 2 2 2 2 4 2 3" xfId="11845" xr:uid="{CA8D5F93-6DAB-4B44-817C-0495625976E7}"/>
    <cellStyle name="Currency 5 2 2 2 2 4 3" xfId="5468" xr:uid="{00000000-0005-0000-0000-00008D0B0000}"/>
    <cellStyle name="Currency 5 2 2 2 2 4 3 2" xfId="13918" xr:uid="{A6D8E0DF-A909-4123-A6A2-D7FA8493E29F}"/>
    <cellStyle name="Currency 5 2 2 2 2 4 4" xfId="9700" xr:uid="{3B4D0737-2497-4100-8D25-0A5B0ABABBFD}"/>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3F3904E4-3635-4BB7-AAE3-440BFBC6E4EC}"/>
    <cellStyle name="Currency 5 2 2 2 2 5 2 3" xfId="12258" xr:uid="{A0B30950-0F45-455C-A0F4-D5E7408ACA66}"/>
    <cellStyle name="Currency 5 2 2 2 2 5 3" xfId="5881" xr:uid="{00000000-0005-0000-0000-0000910B0000}"/>
    <cellStyle name="Currency 5 2 2 2 2 5 3 2" xfId="14331" xr:uid="{2221FCBE-8196-4257-B3B5-4891C6837BFB}"/>
    <cellStyle name="Currency 5 2 2 2 2 5 4" xfId="10113" xr:uid="{C126BEF6-4516-45E6-BA74-6EF74E6B852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C3F7123A-A62C-4C68-A10A-B711A721117E}"/>
    <cellStyle name="Currency 5 2 2 2 2 6 2 3" xfId="12671" xr:uid="{25CD8E15-0182-4CB8-BA0A-F49C91AEC24C}"/>
    <cellStyle name="Currency 5 2 2 2 2 6 3" xfId="6294" xr:uid="{00000000-0005-0000-0000-0000950B0000}"/>
    <cellStyle name="Currency 5 2 2 2 2 6 3 2" xfId="14744" xr:uid="{8D6087CC-8BCA-419C-B1FC-CAF5AEB18806}"/>
    <cellStyle name="Currency 5 2 2 2 2 6 4" xfId="10526" xr:uid="{9F1DCA0B-5D1E-47FB-9A61-911D7C485BBD}"/>
    <cellStyle name="Currency 5 2 2 2 2 7" xfId="2423" xr:uid="{00000000-0005-0000-0000-0000960B0000}"/>
    <cellStyle name="Currency 5 2 2 2 2 7 2" xfId="6707" xr:uid="{00000000-0005-0000-0000-0000970B0000}"/>
    <cellStyle name="Currency 5 2 2 2 2 7 2 2" xfId="15157" xr:uid="{3463B1E2-B4CC-4ED7-8265-397B0E79096B}"/>
    <cellStyle name="Currency 5 2 2 2 2 7 3" xfId="10939" xr:uid="{144D723B-4CA0-492C-AE90-65BC936EF7B3}"/>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1F22E28B-E021-4A28-980E-72D12A307095}"/>
    <cellStyle name="Currency 5 2 2 2 2 9 3" xfId="11256" xr:uid="{E55F5D0F-EF17-42C8-9EA4-341854225680}"/>
    <cellStyle name="Currency 5 2 2 2 3" xfId="199" xr:uid="{00000000-0005-0000-0000-00009B0B0000}"/>
    <cellStyle name="Currency 5 2 2 2 3 10" xfId="8875" xr:uid="{6DA6F6F5-27CE-460C-BBAC-E00994EB2E9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F0C825A2-57AF-4AE5-A6DE-81B87ED7D372}"/>
    <cellStyle name="Currency 5 2 2 2 3 2 2 3" xfId="11434" xr:uid="{A8C9F003-E471-4CD5-B9A5-2B6C649DC325}"/>
    <cellStyle name="Currency 5 2 2 2 3 2 3" xfId="5057" xr:uid="{00000000-0005-0000-0000-00009F0B0000}"/>
    <cellStyle name="Currency 5 2 2 2 3 2 3 2" xfId="13507" xr:uid="{A1AF56F1-DB5A-4D0B-B231-72A2EFA21B6F}"/>
    <cellStyle name="Currency 5 2 2 2 3 2 4" xfId="9289" xr:uid="{5B93CFFB-35B2-4565-ABC8-7735DB66937C}"/>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27325D6F-FE02-40AC-80F2-E4C5D8117852}"/>
    <cellStyle name="Currency 5 2 2 2 3 3 2 3" xfId="11847" xr:uid="{B75FB1C1-EB92-423A-9426-1482805290E5}"/>
    <cellStyle name="Currency 5 2 2 2 3 3 3" xfId="5470" xr:uid="{00000000-0005-0000-0000-0000A30B0000}"/>
    <cellStyle name="Currency 5 2 2 2 3 3 3 2" xfId="13920" xr:uid="{72C0ED2D-5641-47F1-B2C7-A9E48A541F9E}"/>
    <cellStyle name="Currency 5 2 2 2 3 3 4" xfId="9702" xr:uid="{2E510C09-F8BF-4D6A-9457-5B93727312D3}"/>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AE7E29A6-C9CC-44BE-9EBD-9880A6501F6A}"/>
    <cellStyle name="Currency 5 2 2 2 3 4 2 3" xfId="12260" xr:uid="{BA548B9D-EEE9-497D-B2DD-5C74CFF3D445}"/>
    <cellStyle name="Currency 5 2 2 2 3 4 3" xfId="5883" xr:uid="{00000000-0005-0000-0000-0000A70B0000}"/>
    <cellStyle name="Currency 5 2 2 2 3 4 3 2" xfId="14333" xr:uid="{582C2408-A739-48C5-B58A-0022728F0692}"/>
    <cellStyle name="Currency 5 2 2 2 3 4 4" xfId="10115" xr:uid="{A6BE5919-3C80-4032-BC3B-0A857068CBA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48394EC6-B030-4FD7-ACEB-F1F7E3C8E915}"/>
    <cellStyle name="Currency 5 2 2 2 3 5 2 3" xfId="12673" xr:uid="{BB01F796-0442-4212-80D4-02EE9FFEEDD1}"/>
    <cellStyle name="Currency 5 2 2 2 3 5 3" xfId="6296" xr:uid="{00000000-0005-0000-0000-0000AB0B0000}"/>
    <cellStyle name="Currency 5 2 2 2 3 5 3 2" xfId="14746" xr:uid="{0AF41EDC-3C1E-4AE5-A244-42270F2B1BC6}"/>
    <cellStyle name="Currency 5 2 2 2 3 5 4" xfId="10528" xr:uid="{BD306BB8-6138-456A-AEAC-EBBC9CFA500E}"/>
    <cellStyle name="Currency 5 2 2 2 3 6" xfId="2425" xr:uid="{00000000-0005-0000-0000-0000AC0B0000}"/>
    <cellStyle name="Currency 5 2 2 2 3 6 2" xfId="6709" xr:uid="{00000000-0005-0000-0000-0000AD0B0000}"/>
    <cellStyle name="Currency 5 2 2 2 3 6 2 2" xfId="15159" xr:uid="{A322CE6A-C78F-4ABA-9605-5BCB0623843A}"/>
    <cellStyle name="Currency 5 2 2 2 3 6 3" xfId="10941" xr:uid="{F52AB75D-B676-44D7-931D-FB83F8C2750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4F9566A6-0C9B-4FD3-995A-116B505AED69}"/>
    <cellStyle name="Currency 5 2 2 2 3 8 3" xfId="11258" xr:uid="{CEA3641F-52A1-4466-A7B8-6FF1A2BAE9CC}"/>
    <cellStyle name="Currency 5 2 2 2 3 9" xfId="4643" xr:uid="{00000000-0005-0000-0000-0000B10B0000}"/>
    <cellStyle name="Currency 5 2 2 2 3 9 2" xfId="13093" xr:uid="{BC20E520-0AA6-418D-B007-E3B181BA7E3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FA7EEBD6-50C2-4148-8066-5FA99CF7B1E0}"/>
    <cellStyle name="Currency 5 2 2 2 4 2 3" xfId="11431" xr:uid="{A085AD13-5CA9-4863-AE4E-8D8D04F2C488}"/>
    <cellStyle name="Currency 5 2 2 2 4 3" xfId="5054" xr:uid="{00000000-0005-0000-0000-0000B50B0000}"/>
    <cellStyle name="Currency 5 2 2 2 4 3 2" xfId="13504" xr:uid="{5B61A1EA-97EA-434E-B6CA-88E418757E54}"/>
    <cellStyle name="Currency 5 2 2 2 4 4" xfId="9286" xr:uid="{70E39C1E-0D91-44F8-A9E3-1834444A156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EFD4C82A-C499-40C4-ACBE-DC3F073000E6}"/>
    <cellStyle name="Currency 5 2 2 2 5 2 3" xfId="11844" xr:uid="{495DC25D-BFD4-46B4-824C-F0FE2549FF28}"/>
    <cellStyle name="Currency 5 2 2 2 5 3" xfId="5467" xr:uid="{00000000-0005-0000-0000-0000B90B0000}"/>
    <cellStyle name="Currency 5 2 2 2 5 3 2" xfId="13917" xr:uid="{7F49A6A9-07B2-4880-AA2E-46976C1BB165}"/>
    <cellStyle name="Currency 5 2 2 2 5 4" xfId="9699" xr:uid="{F301AA92-30BE-4AFE-951E-9A3405B172CC}"/>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628069B7-3946-4628-831C-3DC959D35A0D}"/>
    <cellStyle name="Currency 5 2 2 2 6 2 3" xfId="12257" xr:uid="{B6D62442-2A9C-4F0A-B589-5C3C1FF5EAA7}"/>
    <cellStyle name="Currency 5 2 2 2 6 3" xfId="5880" xr:uid="{00000000-0005-0000-0000-0000BD0B0000}"/>
    <cellStyle name="Currency 5 2 2 2 6 3 2" xfId="14330" xr:uid="{6FB7C1CB-B278-4AA5-96F7-5BB40BC0B044}"/>
    <cellStyle name="Currency 5 2 2 2 6 4" xfId="10112" xr:uid="{C89EAB35-4885-4A7A-AA21-810A0C7A775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73EE4869-6814-4208-BD1B-36DAC561DFB1}"/>
    <cellStyle name="Currency 5 2 2 2 7 2 3" xfId="12670" xr:uid="{627F0C77-F463-40D7-B48A-04CBCB34D19A}"/>
    <cellStyle name="Currency 5 2 2 2 7 3" xfId="6293" xr:uid="{00000000-0005-0000-0000-0000C10B0000}"/>
    <cellStyle name="Currency 5 2 2 2 7 3 2" xfId="14743" xr:uid="{FE124A88-0DA7-4776-8F60-9C3ADA234FFD}"/>
    <cellStyle name="Currency 5 2 2 2 7 4" xfId="10525" xr:uid="{E980D377-CE6E-44F3-8EB7-0E584334F301}"/>
    <cellStyle name="Currency 5 2 2 2 8" xfId="2422" xr:uid="{00000000-0005-0000-0000-0000C20B0000}"/>
    <cellStyle name="Currency 5 2 2 2 8 2" xfId="6706" xr:uid="{00000000-0005-0000-0000-0000C30B0000}"/>
    <cellStyle name="Currency 5 2 2 2 8 2 2" xfId="15156" xr:uid="{1EFCFA25-48CC-4770-9E35-766752C3C464}"/>
    <cellStyle name="Currency 5 2 2 2 8 3" xfId="10938" xr:uid="{1F9BFE05-0F3B-41E0-95B6-3D025E93CB5F}"/>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310D394E-5068-4AA5-8DC7-808AFA695130}"/>
    <cellStyle name="Currency 5 2 2 3 11" xfId="8876" xr:uid="{9DDA4AC3-7067-4D73-A4C1-5D720531319E}"/>
    <cellStyle name="Currency 5 2 2 3 2" xfId="201" xr:uid="{00000000-0005-0000-0000-0000C70B0000}"/>
    <cellStyle name="Currency 5 2 2 3 2 10" xfId="8877" xr:uid="{B9B6DD75-CD29-47D3-8264-B2AB695B282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9C14FFF1-7A69-4F6C-BEE8-5D084FA77A06}"/>
    <cellStyle name="Currency 5 2 2 3 2 2 2 3" xfId="11436" xr:uid="{0D58E9C2-9C4F-41E7-BD89-40B2DE6955CE}"/>
    <cellStyle name="Currency 5 2 2 3 2 2 3" xfId="5059" xr:uid="{00000000-0005-0000-0000-0000CB0B0000}"/>
    <cellStyle name="Currency 5 2 2 3 2 2 3 2" xfId="13509" xr:uid="{4E7DF89D-999C-4266-8AC4-FC6BF4686D9E}"/>
    <cellStyle name="Currency 5 2 2 3 2 2 4" xfId="9291" xr:uid="{3669EAFD-6D54-459C-9221-B555E00BC324}"/>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5F402180-A667-4204-9998-ADB30AB6DD5F}"/>
    <cellStyle name="Currency 5 2 2 3 2 3 2 3" xfId="11849" xr:uid="{699B9B0A-ED5B-44E7-9622-D02E5063B833}"/>
    <cellStyle name="Currency 5 2 2 3 2 3 3" xfId="5472" xr:uid="{00000000-0005-0000-0000-0000CF0B0000}"/>
    <cellStyle name="Currency 5 2 2 3 2 3 3 2" xfId="13922" xr:uid="{C5234A1B-97FF-496A-A5EF-10061E3AE3D1}"/>
    <cellStyle name="Currency 5 2 2 3 2 3 4" xfId="9704" xr:uid="{1F3CB296-84F6-4539-8257-A34A21ED8A4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4146D0D4-F3EA-4BEB-AA4F-875D0F588F22}"/>
    <cellStyle name="Currency 5 2 2 3 2 4 2 3" xfId="12262" xr:uid="{5DD4F7E0-E2BE-4F3D-B60B-7C29491E04A4}"/>
    <cellStyle name="Currency 5 2 2 3 2 4 3" xfId="5885" xr:uid="{00000000-0005-0000-0000-0000D30B0000}"/>
    <cellStyle name="Currency 5 2 2 3 2 4 3 2" xfId="14335" xr:uid="{62EE920A-3B8A-47FF-800C-94B453139945}"/>
    <cellStyle name="Currency 5 2 2 3 2 4 4" xfId="10117" xr:uid="{74A383AB-ABF9-4D6A-B291-BE4D10B4CB81}"/>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21352A87-3388-4D0B-8175-6B1FF6D18887}"/>
    <cellStyle name="Currency 5 2 2 3 2 5 2 3" xfId="12675" xr:uid="{2B996151-4177-4ECB-8BD4-B4D7A08EA25D}"/>
    <cellStyle name="Currency 5 2 2 3 2 5 3" xfId="6298" xr:uid="{00000000-0005-0000-0000-0000D70B0000}"/>
    <cellStyle name="Currency 5 2 2 3 2 5 3 2" xfId="14748" xr:uid="{B3922BB9-100B-4FFE-BE35-A9487DD83EBB}"/>
    <cellStyle name="Currency 5 2 2 3 2 5 4" xfId="10530" xr:uid="{40A96D87-C85D-4D19-AC8A-2238981E1952}"/>
    <cellStyle name="Currency 5 2 2 3 2 6" xfId="2427" xr:uid="{00000000-0005-0000-0000-0000D80B0000}"/>
    <cellStyle name="Currency 5 2 2 3 2 6 2" xfId="6711" xr:uid="{00000000-0005-0000-0000-0000D90B0000}"/>
    <cellStyle name="Currency 5 2 2 3 2 6 2 2" xfId="15161" xr:uid="{526F60CF-441F-407C-8F65-3CEF79B89616}"/>
    <cellStyle name="Currency 5 2 2 3 2 6 3" xfId="10943" xr:uid="{A3FB1B14-22E3-4522-B0AD-734ECA7988D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7BB528B3-4C07-4F5A-8276-9EFD650B66D8}"/>
    <cellStyle name="Currency 5 2 2 3 2 8 3" xfId="11260" xr:uid="{8751DDE2-7099-4A97-B44B-0FA3C2C06DC1}"/>
    <cellStyle name="Currency 5 2 2 3 2 9" xfId="4645" xr:uid="{00000000-0005-0000-0000-0000DD0B0000}"/>
    <cellStyle name="Currency 5 2 2 3 2 9 2" xfId="13095" xr:uid="{BE6130E0-6E9D-4323-BF47-CB3BB57FBF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49E90415-A46F-4611-99EB-5E12EB6F0A35}"/>
    <cellStyle name="Currency 5 2 2 3 3 2 3" xfId="11435" xr:uid="{A22A32D9-30B2-461D-B426-9159BAA31FCD}"/>
    <cellStyle name="Currency 5 2 2 3 3 3" xfId="5058" xr:uid="{00000000-0005-0000-0000-0000E10B0000}"/>
    <cellStyle name="Currency 5 2 2 3 3 3 2" xfId="13508" xr:uid="{C93A22A1-4E1C-4489-AE83-60B957C0F084}"/>
    <cellStyle name="Currency 5 2 2 3 3 4" xfId="9290" xr:uid="{58511849-5477-445A-9D4E-AD48B9D5E59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E14AB14A-1FD0-441E-9480-3C4659E1F2D9}"/>
    <cellStyle name="Currency 5 2 2 3 4 2 3" xfId="11848" xr:uid="{99C060AF-1215-464D-9E08-F7F3D84C7315}"/>
    <cellStyle name="Currency 5 2 2 3 4 3" xfId="5471" xr:uid="{00000000-0005-0000-0000-0000E50B0000}"/>
    <cellStyle name="Currency 5 2 2 3 4 3 2" xfId="13921" xr:uid="{25FDAE9C-C7A7-4A4D-B478-6830159A8A27}"/>
    <cellStyle name="Currency 5 2 2 3 4 4" xfId="9703" xr:uid="{CFF09CD4-DE66-4B99-933C-21316B278A98}"/>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A9E9F2E6-B0D7-4C90-98D8-68BC6512E130}"/>
    <cellStyle name="Currency 5 2 2 3 5 2 3" xfId="12261" xr:uid="{FC1F5AC1-8A38-47D2-90F4-80E73AD654FC}"/>
    <cellStyle name="Currency 5 2 2 3 5 3" xfId="5884" xr:uid="{00000000-0005-0000-0000-0000E90B0000}"/>
    <cellStyle name="Currency 5 2 2 3 5 3 2" xfId="14334" xr:uid="{69BEF05A-E22B-4E2B-ACE4-12367C404E20}"/>
    <cellStyle name="Currency 5 2 2 3 5 4" xfId="10116" xr:uid="{2B2D9CEF-4EFB-4DFD-837A-2BB388B2F796}"/>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00B4F712-3421-4337-9E9F-AFEF693E6E07}"/>
    <cellStyle name="Currency 5 2 2 3 6 2 3" xfId="12674" xr:uid="{8EB55806-A48B-47EF-B72B-0EEE7183BB03}"/>
    <cellStyle name="Currency 5 2 2 3 6 3" xfId="6297" xr:uid="{00000000-0005-0000-0000-0000ED0B0000}"/>
    <cellStyle name="Currency 5 2 2 3 6 3 2" xfId="14747" xr:uid="{62DDD009-C108-4686-B13B-CD69D99B9612}"/>
    <cellStyle name="Currency 5 2 2 3 6 4" xfId="10529" xr:uid="{8C2DFF2D-08D7-4E50-841D-F53F5A7A4E32}"/>
    <cellStyle name="Currency 5 2 2 3 7" xfId="2426" xr:uid="{00000000-0005-0000-0000-0000EE0B0000}"/>
    <cellStyle name="Currency 5 2 2 3 7 2" xfId="6710" xr:uid="{00000000-0005-0000-0000-0000EF0B0000}"/>
    <cellStyle name="Currency 5 2 2 3 7 2 2" xfId="15160" xr:uid="{5191BCDF-FFE0-4C05-ACA9-5B4CDC03588D}"/>
    <cellStyle name="Currency 5 2 2 3 7 3" xfId="10942" xr:uid="{D789163E-0706-49E7-8FFA-0161D0733FB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B5E4DEA8-B0C8-44C3-A5FC-BE88803D9130}"/>
    <cellStyle name="Currency 5 2 2 3 9 3" xfId="11259" xr:uid="{F5CAEDC4-F80A-4738-83B2-ADECEFA61DAD}"/>
    <cellStyle name="Currency 5 2 2 4" xfId="202" xr:uid="{00000000-0005-0000-0000-0000F30B0000}"/>
    <cellStyle name="Currency 5 2 2 4 10" xfId="8878" xr:uid="{BA0C12B7-0D1B-4EB8-ADE8-DE6B3929050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955862F9-E842-4165-9B2E-EED8759069CE}"/>
    <cellStyle name="Currency 5 2 2 4 2 2 3" xfId="11437" xr:uid="{DF9EFC44-3CEC-4EC4-96E3-D08BBCB83AE9}"/>
    <cellStyle name="Currency 5 2 2 4 2 3" xfId="5060" xr:uid="{00000000-0005-0000-0000-0000F70B0000}"/>
    <cellStyle name="Currency 5 2 2 4 2 3 2" xfId="13510" xr:uid="{E611B995-D6A8-4D67-8688-1A2E54258DB8}"/>
    <cellStyle name="Currency 5 2 2 4 2 4" xfId="9292" xr:uid="{9CF1C1CB-AE93-414D-86AD-36E2A3BA67D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6F2DAA14-DCE4-48B2-9728-6BA4A19FE7D0}"/>
    <cellStyle name="Currency 5 2 2 4 3 2 3" xfId="11850" xr:uid="{3570D6E1-A2CD-4A4C-ACFD-92B914D75A5F}"/>
    <cellStyle name="Currency 5 2 2 4 3 3" xfId="5473" xr:uid="{00000000-0005-0000-0000-0000FB0B0000}"/>
    <cellStyle name="Currency 5 2 2 4 3 3 2" xfId="13923" xr:uid="{E6E78804-32B2-4948-A9A8-E0B94078A863}"/>
    <cellStyle name="Currency 5 2 2 4 3 4" xfId="9705" xr:uid="{E25C46E8-0CFE-46A6-AFF1-33D825979C34}"/>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2ED05A40-BAC7-4E61-BDE2-77CB383130BE}"/>
    <cellStyle name="Currency 5 2 2 4 4 2 3" xfId="12263" xr:uid="{1B4DBC44-84F0-4D4B-830E-2919CB6ECCB4}"/>
    <cellStyle name="Currency 5 2 2 4 4 3" xfId="5886" xr:uid="{00000000-0005-0000-0000-0000FF0B0000}"/>
    <cellStyle name="Currency 5 2 2 4 4 3 2" xfId="14336" xr:uid="{65B41C09-0EF3-419A-8795-DFC9C6750AAE}"/>
    <cellStyle name="Currency 5 2 2 4 4 4" xfId="10118" xr:uid="{CF00DA25-B8F0-4B6E-8E54-9114FE951ED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15B2CBB-BDB8-4FFC-8F56-CA5C6D5FF9E4}"/>
    <cellStyle name="Currency 5 2 2 4 5 2 3" xfId="12676" xr:uid="{7B997125-4A26-4EC7-A30E-3EF5D9AF1BDF}"/>
    <cellStyle name="Currency 5 2 2 4 5 3" xfId="6299" xr:uid="{00000000-0005-0000-0000-0000030C0000}"/>
    <cellStyle name="Currency 5 2 2 4 5 3 2" xfId="14749" xr:uid="{095A5F51-67EC-493C-8323-05CCBD6EAC35}"/>
    <cellStyle name="Currency 5 2 2 4 5 4" xfId="10531" xr:uid="{60F3948B-8B8F-4CD7-B525-88D70C768844}"/>
    <cellStyle name="Currency 5 2 2 4 6" xfId="2428" xr:uid="{00000000-0005-0000-0000-0000040C0000}"/>
    <cellStyle name="Currency 5 2 2 4 6 2" xfId="6712" xr:uid="{00000000-0005-0000-0000-0000050C0000}"/>
    <cellStyle name="Currency 5 2 2 4 6 2 2" xfId="15162" xr:uid="{23F2847C-E13A-4001-B3A5-E84EFB272D4E}"/>
    <cellStyle name="Currency 5 2 2 4 6 3" xfId="10944" xr:uid="{014BBEAD-5922-4A51-9D2E-EB04B2F1742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83079962-EA1C-4C21-B9DF-AF6730FB795E}"/>
    <cellStyle name="Currency 5 2 2 4 8 3" xfId="11261" xr:uid="{D6D8C354-CFAC-4AD1-917C-AD39044138A3}"/>
    <cellStyle name="Currency 5 2 2 4 9" xfId="4646" xr:uid="{00000000-0005-0000-0000-0000090C0000}"/>
    <cellStyle name="Currency 5 2 2 4 9 2" xfId="13096" xr:uid="{D11E9D4A-6E28-4AEB-B634-7DFFAFD68ACD}"/>
    <cellStyle name="Currency 5 2 2 5" xfId="203" xr:uid="{00000000-0005-0000-0000-00000A0C0000}"/>
    <cellStyle name="Currency 5 2 2 5 10" xfId="8879" xr:uid="{6646B548-4687-44E9-ADEF-A95694E4D53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66B87E42-018F-4415-9991-2A689F82327B}"/>
    <cellStyle name="Currency 5 2 2 5 2 2 3" xfId="11438" xr:uid="{F165EEF1-0E66-4FC4-A77E-C208B585801C}"/>
    <cellStyle name="Currency 5 2 2 5 2 3" xfId="5061" xr:uid="{00000000-0005-0000-0000-00000E0C0000}"/>
    <cellStyle name="Currency 5 2 2 5 2 3 2" xfId="13511" xr:uid="{75A6139E-ED71-4C34-8576-335F9373B72C}"/>
    <cellStyle name="Currency 5 2 2 5 2 4" xfId="9293" xr:uid="{2E1BA311-95C7-4B03-A880-2B86B3046884}"/>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1765819E-BB8B-4195-97F3-8F8721AA5E02}"/>
    <cellStyle name="Currency 5 2 2 5 3 2 3" xfId="11851" xr:uid="{80FF2324-1FAB-42E7-B337-8038E0E9FBD7}"/>
    <cellStyle name="Currency 5 2 2 5 3 3" xfId="5474" xr:uid="{00000000-0005-0000-0000-0000120C0000}"/>
    <cellStyle name="Currency 5 2 2 5 3 3 2" xfId="13924" xr:uid="{881F7515-A21B-406A-9E24-7E440A837A98}"/>
    <cellStyle name="Currency 5 2 2 5 3 4" xfId="9706" xr:uid="{3EF95F8C-257D-4396-8038-243081DC0765}"/>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1427ECDA-5AA1-47A0-A357-C1708259A0DE}"/>
    <cellStyle name="Currency 5 2 2 5 4 2 3" xfId="12264" xr:uid="{47EB786C-8A9C-420D-BB6D-51EC96EEF639}"/>
    <cellStyle name="Currency 5 2 2 5 4 3" xfId="5887" xr:uid="{00000000-0005-0000-0000-0000160C0000}"/>
    <cellStyle name="Currency 5 2 2 5 4 3 2" xfId="14337" xr:uid="{8637E149-989E-4A20-9A59-53C1CDC58E47}"/>
    <cellStyle name="Currency 5 2 2 5 4 4" xfId="10119" xr:uid="{A377FA3D-769C-4072-845D-933B5F9C86B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2475BD06-FB17-46E8-AD4A-40FB153F7F17}"/>
    <cellStyle name="Currency 5 2 2 5 5 2 3" xfId="12677" xr:uid="{7AFECE61-8452-47A7-8980-9083A7538458}"/>
    <cellStyle name="Currency 5 2 2 5 5 3" xfId="6300" xr:uid="{00000000-0005-0000-0000-00001A0C0000}"/>
    <cellStyle name="Currency 5 2 2 5 5 3 2" xfId="14750" xr:uid="{E88ED8EF-58AC-4116-8FC7-43F909143217}"/>
    <cellStyle name="Currency 5 2 2 5 5 4" xfId="10532" xr:uid="{4212F52D-3B40-4D7D-8A8C-4804AC5E2ECF}"/>
    <cellStyle name="Currency 5 2 2 5 6" xfId="2429" xr:uid="{00000000-0005-0000-0000-00001B0C0000}"/>
    <cellStyle name="Currency 5 2 2 5 6 2" xfId="6713" xr:uid="{00000000-0005-0000-0000-00001C0C0000}"/>
    <cellStyle name="Currency 5 2 2 5 6 2 2" xfId="15163" xr:uid="{F968F7B2-E298-4303-B5B9-C7E6A49217AA}"/>
    <cellStyle name="Currency 5 2 2 5 6 3" xfId="10945" xr:uid="{FFA10C69-0F75-4DA5-9540-04E20FA28CCB}"/>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BB5276B2-1270-4317-BF26-41B25999F0A8}"/>
    <cellStyle name="Currency 5 2 2 5 8 3" xfId="11262" xr:uid="{5978396C-820E-492A-985E-44CD96D5A3F3}"/>
    <cellStyle name="Currency 5 2 2 5 9" xfId="4647" xr:uid="{00000000-0005-0000-0000-0000200C0000}"/>
    <cellStyle name="Currency 5 2 2 5 9 2" xfId="13097" xr:uid="{7D37E3B2-CBCC-4006-B9C3-52A679FA57FB}"/>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5FCD6C85-6777-4BCA-A670-18BAF2EE6636}"/>
    <cellStyle name="Currency 5 2 4 11" xfId="8880" xr:uid="{9DE2FDCD-FFC9-4AB1-92D5-8235E40C05BE}"/>
    <cellStyle name="Currency 5 2 4 2" xfId="206" xr:uid="{00000000-0005-0000-0000-0000250C0000}"/>
    <cellStyle name="Currency 5 2 4 2 10" xfId="8881" xr:uid="{01EF4B28-3CDA-43DD-8A5A-057614F6966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27F7700E-E1DC-47B6-8C24-5A3C8185784F}"/>
    <cellStyle name="Currency 5 2 4 2 2 2 3" xfId="11440" xr:uid="{6B158E8D-E3CC-48E5-867B-B731A6B7F962}"/>
    <cellStyle name="Currency 5 2 4 2 2 3" xfId="5063" xr:uid="{00000000-0005-0000-0000-0000290C0000}"/>
    <cellStyle name="Currency 5 2 4 2 2 3 2" xfId="13513" xr:uid="{4599F830-D06D-43E0-9407-96676D70B0B5}"/>
    <cellStyle name="Currency 5 2 4 2 2 4" xfId="9295" xr:uid="{A870B533-A2F2-42F7-8E48-5E81BC008313}"/>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950A7540-2681-464A-81B0-D728FE960AE9}"/>
    <cellStyle name="Currency 5 2 4 2 3 2 3" xfId="11853" xr:uid="{2051F650-F971-45C3-9532-DB3642A22ED0}"/>
    <cellStyle name="Currency 5 2 4 2 3 3" xfId="5476" xr:uid="{00000000-0005-0000-0000-00002D0C0000}"/>
    <cellStyle name="Currency 5 2 4 2 3 3 2" xfId="13926" xr:uid="{DD4E0B7A-3E42-4721-B2BC-A9CDD1FB9141}"/>
    <cellStyle name="Currency 5 2 4 2 3 4" xfId="9708" xr:uid="{D3A49476-9631-4739-8684-4E912777C5DA}"/>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49B00972-67E5-4EEF-BAAE-FE1FC9BC7CB3}"/>
    <cellStyle name="Currency 5 2 4 2 4 2 3" xfId="12266" xr:uid="{17F0D128-2E4A-48DE-9D85-2B055D0A968B}"/>
    <cellStyle name="Currency 5 2 4 2 4 3" xfId="5889" xr:uid="{00000000-0005-0000-0000-0000310C0000}"/>
    <cellStyle name="Currency 5 2 4 2 4 3 2" xfId="14339" xr:uid="{3E11649F-BF15-46AC-A267-A5D679F5EDCB}"/>
    <cellStyle name="Currency 5 2 4 2 4 4" xfId="10121" xr:uid="{2E3E46CD-538B-4D8D-926B-7C9B6DF024AE}"/>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2DF63D6B-1036-4010-A2F6-801A8E5EFD2D}"/>
    <cellStyle name="Currency 5 2 4 2 5 2 3" xfId="12679" xr:uid="{A6C24BE3-54DD-4995-9FFB-B4F9EF846315}"/>
    <cellStyle name="Currency 5 2 4 2 5 3" xfId="6302" xr:uid="{00000000-0005-0000-0000-0000350C0000}"/>
    <cellStyle name="Currency 5 2 4 2 5 3 2" xfId="14752" xr:uid="{8E1643DE-D379-4A73-A859-13857E52997B}"/>
    <cellStyle name="Currency 5 2 4 2 5 4" xfId="10534" xr:uid="{367A8A3D-30D5-4B3A-8731-312158186873}"/>
    <cellStyle name="Currency 5 2 4 2 6" xfId="2431" xr:uid="{00000000-0005-0000-0000-0000360C0000}"/>
    <cellStyle name="Currency 5 2 4 2 6 2" xfId="6715" xr:uid="{00000000-0005-0000-0000-0000370C0000}"/>
    <cellStyle name="Currency 5 2 4 2 6 2 2" xfId="15165" xr:uid="{ECFE78C5-5FB6-4654-B8F3-204B71CAEC3C}"/>
    <cellStyle name="Currency 5 2 4 2 6 3" xfId="10947" xr:uid="{060E4FC3-661C-4D64-A3E8-63FF6AD96E8D}"/>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53AFD720-DE6A-43F5-87F4-1D7C3EA28110}"/>
    <cellStyle name="Currency 5 2 4 2 8 3" xfId="11264" xr:uid="{5D960A2F-4D74-43AA-AFBF-C3B8ECD2D8C4}"/>
    <cellStyle name="Currency 5 2 4 2 9" xfId="4649" xr:uid="{00000000-0005-0000-0000-00003B0C0000}"/>
    <cellStyle name="Currency 5 2 4 2 9 2" xfId="13099" xr:uid="{B5CB9AE4-7067-4948-BFFE-5B1FF6E7C229}"/>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7B3A0A1E-04F4-410E-8B62-AD06755D7B10}"/>
    <cellStyle name="Currency 5 2 4 3 2 3" xfId="11439" xr:uid="{A2FFCE6E-A7DC-418B-9833-B5227F839537}"/>
    <cellStyle name="Currency 5 2 4 3 3" xfId="5062" xr:uid="{00000000-0005-0000-0000-00003F0C0000}"/>
    <cellStyle name="Currency 5 2 4 3 3 2" xfId="13512" xr:uid="{83FA8D02-0234-43BF-9359-801365B56A17}"/>
    <cellStyle name="Currency 5 2 4 3 4" xfId="9294" xr:uid="{8BE2CA96-C653-4EC9-8BF1-8605F08BAFBA}"/>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5D0EE4EC-720A-4F56-B16B-1686ECD77AB6}"/>
    <cellStyle name="Currency 5 2 4 4 2 3" xfId="11852" xr:uid="{D53A3AA5-4FA6-4AA7-8A9E-4D01186380D9}"/>
    <cellStyle name="Currency 5 2 4 4 3" xfId="5475" xr:uid="{00000000-0005-0000-0000-0000430C0000}"/>
    <cellStyle name="Currency 5 2 4 4 3 2" xfId="13925" xr:uid="{4C4943EC-A949-4365-BA85-BA186B1FE7CD}"/>
    <cellStyle name="Currency 5 2 4 4 4" xfId="9707" xr:uid="{92F4A10F-BA1E-4194-94B3-A100E9099C1B}"/>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CC503C29-F359-4315-8A11-FAADF36CAE5A}"/>
    <cellStyle name="Currency 5 2 4 5 2 3" xfId="12265" xr:uid="{5BF2498A-0209-4D08-B7D3-562DC6C19C52}"/>
    <cellStyle name="Currency 5 2 4 5 3" xfId="5888" xr:uid="{00000000-0005-0000-0000-0000470C0000}"/>
    <cellStyle name="Currency 5 2 4 5 3 2" xfId="14338" xr:uid="{F4F705C0-2AC2-43B6-8FE3-37A5FB0E5198}"/>
    <cellStyle name="Currency 5 2 4 5 4" xfId="10120" xr:uid="{396786A2-3F63-4247-9C52-BC336E7E7408}"/>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53FE6C64-6263-4160-9A25-CBCEA9E0F61E}"/>
    <cellStyle name="Currency 5 2 4 6 2 3" xfId="12678" xr:uid="{C7C4C519-E116-4BAE-9CEA-B07BA85DF59C}"/>
    <cellStyle name="Currency 5 2 4 6 3" xfId="6301" xr:uid="{00000000-0005-0000-0000-00004B0C0000}"/>
    <cellStyle name="Currency 5 2 4 6 3 2" xfId="14751" xr:uid="{B4C53F88-824B-4A39-A3A6-F382A60531A5}"/>
    <cellStyle name="Currency 5 2 4 6 4" xfId="10533" xr:uid="{280BBFE7-8542-4B79-8BFD-55EDF28D8D24}"/>
    <cellStyle name="Currency 5 2 4 7" xfId="2430" xr:uid="{00000000-0005-0000-0000-00004C0C0000}"/>
    <cellStyle name="Currency 5 2 4 7 2" xfId="6714" xr:uid="{00000000-0005-0000-0000-00004D0C0000}"/>
    <cellStyle name="Currency 5 2 4 7 2 2" xfId="15164" xr:uid="{8BA9507F-53C0-4146-9FA5-CF586CD35602}"/>
    <cellStyle name="Currency 5 2 4 7 3" xfId="10946" xr:uid="{7A48FC0C-218A-40B2-B86B-D711AE0F7DAB}"/>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29AA3BEF-1CDA-45C7-8C62-916BD27925B7}"/>
    <cellStyle name="Currency 5 2 4 9 3" xfId="11263" xr:uid="{75689746-4E57-4453-9F68-8A1E64CA88FB}"/>
    <cellStyle name="Currency 5 2 5" xfId="207" xr:uid="{00000000-0005-0000-0000-0000510C0000}"/>
    <cellStyle name="Currency 5 2 5 10" xfId="8882" xr:uid="{1716E354-A543-4613-91DB-0B35B825BE39}"/>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FDE04FEF-C0A7-46B1-BE17-9370FE031299}"/>
    <cellStyle name="Currency 5 2 5 2 2 3" xfId="11441" xr:uid="{B14A94CF-D36A-4441-AFCE-50B0F6E56C1F}"/>
    <cellStyle name="Currency 5 2 5 2 3" xfId="5064" xr:uid="{00000000-0005-0000-0000-0000550C0000}"/>
    <cellStyle name="Currency 5 2 5 2 3 2" xfId="13514" xr:uid="{EC2B41AA-A2D2-4240-A70E-44488B2AE3F6}"/>
    <cellStyle name="Currency 5 2 5 2 4" xfId="9296" xr:uid="{B8E892D2-AE75-4F71-87CC-0011C520BD7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DBB9216C-8862-483D-9494-5927AD832A35}"/>
    <cellStyle name="Currency 5 2 5 3 2 3" xfId="11854" xr:uid="{10EB3EEF-7C54-4124-913F-58F78B6A0919}"/>
    <cellStyle name="Currency 5 2 5 3 3" xfId="5477" xr:uid="{00000000-0005-0000-0000-0000590C0000}"/>
    <cellStyle name="Currency 5 2 5 3 3 2" xfId="13927" xr:uid="{CE887C52-9454-4E7A-A689-0035F8BE3C18}"/>
    <cellStyle name="Currency 5 2 5 3 4" xfId="9709" xr:uid="{7A874D6A-97D0-43F4-BF59-216A3AC93FC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03D58F6A-BA79-4C79-8D58-454E022ED4E4}"/>
    <cellStyle name="Currency 5 2 5 4 2 3" xfId="12267" xr:uid="{63D88AA9-8251-4BFF-B6AF-BD5CEDBB822A}"/>
    <cellStyle name="Currency 5 2 5 4 3" xfId="5890" xr:uid="{00000000-0005-0000-0000-00005D0C0000}"/>
    <cellStyle name="Currency 5 2 5 4 3 2" xfId="14340" xr:uid="{D133F428-4357-4595-BACB-1EE9FD267904}"/>
    <cellStyle name="Currency 5 2 5 4 4" xfId="10122" xr:uid="{45663052-F9B6-44F0-876B-58F50DF30132}"/>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2DC943C5-E9CB-4141-A15D-8E87670C0FED}"/>
    <cellStyle name="Currency 5 2 5 5 2 3" xfId="12680" xr:uid="{A58F310A-F3ED-41B4-A50C-9DA39AD8BDDD}"/>
    <cellStyle name="Currency 5 2 5 5 3" xfId="6303" xr:uid="{00000000-0005-0000-0000-0000610C0000}"/>
    <cellStyle name="Currency 5 2 5 5 3 2" xfId="14753" xr:uid="{8A51D5F1-11D0-4F13-85DD-6A515C636691}"/>
    <cellStyle name="Currency 5 2 5 5 4" xfId="10535" xr:uid="{4DDFFD4D-5467-43DC-A19F-ECCBFB154C00}"/>
    <cellStyle name="Currency 5 2 5 6" xfId="2432" xr:uid="{00000000-0005-0000-0000-0000620C0000}"/>
    <cellStyle name="Currency 5 2 5 6 2" xfId="6716" xr:uid="{00000000-0005-0000-0000-0000630C0000}"/>
    <cellStyle name="Currency 5 2 5 6 2 2" xfId="15166" xr:uid="{7EB6D59B-531F-4302-82C4-8EE7C0A9CE63}"/>
    <cellStyle name="Currency 5 2 5 6 3" xfId="10948" xr:uid="{28D82B02-5FA0-4572-A742-094F901C5B07}"/>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D5AE375E-2114-4072-A079-73A737CEF236}"/>
    <cellStyle name="Currency 5 2 5 8 3" xfId="11265" xr:uid="{23B57CA8-3F69-4114-891F-370BA3480A4A}"/>
    <cellStyle name="Currency 5 2 5 9" xfId="4650" xr:uid="{00000000-0005-0000-0000-0000670C0000}"/>
    <cellStyle name="Currency 5 2 5 9 2" xfId="13100" xr:uid="{3B65557F-C7A7-4E11-B515-7E280421C59D}"/>
    <cellStyle name="Currency 5 2 6" xfId="208" xr:uid="{00000000-0005-0000-0000-0000680C0000}"/>
    <cellStyle name="Currency 5 2 6 10" xfId="8883" xr:uid="{59234096-8AE9-45A5-84B7-400EB7D56BC4}"/>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A0248C5C-FC19-4231-8223-4C96E50C8F6C}"/>
    <cellStyle name="Currency 5 2 6 2 2 3" xfId="11442" xr:uid="{F3669A9F-021E-4AA1-9E7C-3FEF001CE0B8}"/>
    <cellStyle name="Currency 5 2 6 2 3" xfId="5065" xr:uid="{00000000-0005-0000-0000-00006C0C0000}"/>
    <cellStyle name="Currency 5 2 6 2 3 2" xfId="13515" xr:uid="{395F7A3E-F3B9-4520-9452-35C196834896}"/>
    <cellStyle name="Currency 5 2 6 2 4" xfId="9297" xr:uid="{0FBF7D65-4F66-4B4C-A3C5-A0200B58949F}"/>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086EF2FF-92F3-4B2C-BF14-0BD694C85B7B}"/>
    <cellStyle name="Currency 5 2 6 3 2 3" xfId="11855" xr:uid="{B629445A-6B4F-43B2-8D61-DB31461107B0}"/>
    <cellStyle name="Currency 5 2 6 3 3" xfId="5478" xr:uid="{00000000-0005-0000-0000-0000700C0000}"/>
    <cellStyle name="Currency 5 2 6 3 3 2" xfId="13928" xr:uid="{2E8EF5B8-9AF4-4C89-81C1-D0381F72E30E}"/>
    <cellStyle name="Currency 5 2 6 3 4" xfId="9710" xr:uid="{D92CEF4F-EBAF-41F4-BCF5-8D819B1D60E4}"/>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C24BDD1B-F679-4444-87B7-18AF898F8A90}"/>
    <cellStyle name="Currency 5 2 6 4 2 3" xfId="12268" xr:uid="{BCFF2F7D-4F96-4078-A329-133F34B5C7FD}"/>
    <cellStyle name="Currency 5 2 6 4 3" xfId="5891" xr:uid="{00000000-0005-0000-0000-0000740C0000}"/>
    <cellStyle name="Currency 5 2 6 4 3 2" xfId="14341" xr:uid="{6D73C7A7-5A95-4882-BACF-C6FEF9A21656}"/>
    <cellStyle name="Currency 5 2 6 4 4" xfId="10123" xr:uid="{6B65AACE-6AA7-4EFB-89DD-D4BCFE509497}"/>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570F2D03-7533-46B6-9628-BB8DCB5FDCB6}"/>
    <cellStyle name="Currency 5 2 6 5 2 3" xfId="12681" xr:uid="{73D8E71A-137A-4301-BCAA-C79BD189436B}"/>
    <cellStyle name="Currency 5 2 6 5 3" xfId="6304" xr:uid="{00000000-0005-0000-0000-0000780C0000}"/>
    <cellStyle name="Currency 5 2 6 5 3 2" xfId="14754" xr:uid="{C148C292-6882-4B5F-A1B2-47AA6645F3C1}"/>
    <cellStyle name="Currency 5 2 6 5 4" xfId="10536" xr:uid="{7D20EEE4-7241-4BEF-BDED-DB43A19CD906}"/>
    <cellStyle name="Currency 5 2 6 6" xfId="2433" xr:uid="{00000000-0005-0000-0000-0000790C0000}"/>
    <cellStyle name="Currency 5 2 6 6 2" xfId="6717" xr:uid="{00000000-0005-0000-0000-00007A0C0000}"/>
    <cellStyle name="Currency 5 2 6 6 2 2" xfId="15167" xr:uid="{96E2BC33-0C4B-41A5-939C-2AFFCA6AED7B}"/>
    <cellStyle name="Currency 5 2 6 6 3" xfId="10949" xr:uid="{6567866B-D5BC-455F-AE14-B1EDD992773E}"/>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ED5F0079-5364-46A9-B3D3-978DFBAA0574}"/>
    <cellStyle name="Currency 5 2 6 8 3" xfId="11266" xr:uid="{A524A547-058C-47E3-9944-139264217BF6}"/>
    <cellStyle name="Currency 5 2 6 9" xfId="4651" xr:uid="{00000000-0005-0000-0000-00007E0C0000}"/>
    <cellStyle name="Currency 5 2 6 9 2" xfId="13101" xr:uid="{0E3F67F7-933F-4F64-B498-D00D51F1F226}"/>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5936FA72-F057-47C4-8FB7-B47B0DA4C945}"/>
    <cellStyle name="Currency 5 3 2 10 3" xfId="11267" xr:uid="{32D3509B-153E-4556-B372-B14E1BA28CA7}"/>
    <cellStyle name="Currency 5 3 2 11" xfId="4652" xr:uid="{00000000-0005-0000-0000-0000840C0000}"/>
    <cellStyle name="Currency 5 3 2 11 2" xfId="13102" xr:uid="{683E5BC7-F2A4-4200-A86A-0E6C587C3C3C}"/>
    <cellStyle name="Currency 5 3 2 12" xfId="8884" xr:uid="{FA67B51A-EE97-4212-A030-171B67FF2BD0}"/>
    <cellStyle name="Currency 5 3 2 2" xfId="211" xr:uid="{00000000-0005-0000-0000-0000850C0000}"/>
    <cellStyle name="Currency 5 3 2 2 10" xfId="4653" xr:uid="{00000000-0005-0000-0000-0000860C0000}"/>
    <cellStyle name="Currency 5 3 2 2 10 2" xfId="13103" xr:uid="{A87FE91C-7A57-4BF1-9192-3CB620694F1D}"/>
    <cellStyle name="Currency 5 3 2 2 11" xfId="8885" xr:uid="{C8A39B32-1848-46C8-8450-E93EE42EBED3}"/>
    <cellStyle name="Currency 5 3 2 2 2" xfId="212" xr:uid="{00000000-0005-0000-0000-0000870C0000}"/>
    <cellStyle name="Currency 5 3 2 2 2 10" xfId="8886" xr:uid="{A123C292-5838-4E22-80D2-8C48DD35301F}"/>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5DEB3F53-14EA-4610-9E81-1FD24CC497F0}"/>
    <cellStyle name="Currency 5 3 2 2 2 2 2 3" xfId="11445" xr:uid="{8D4B1024-1020-4333-BAEE-29B89507764E}"/>
    <cellStyle name="Currency 5 3 2 2 2 2 3" xfId="5068" xr:uid="{00000000-0005-0000-0000-00008B0C0000}"/>
    <cellStyle name="Currency 5 3 2 2 2 2 3 2" xfId="13518" xr:uid="{992C1747-65C4-429F-B263-B8BD28AB83E4}"/>
    <cellStyle name="Currency 5 3 2 2 2 2 4" xfId="9300" xr:uid="{BADE566D-D290-4309-8583-AF090ED2AD4F}"/>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089FFF31-51EC-4D7C-A838-4EEB6B253C3D}"/>
    <cellStyle name="Currency 5 3 2 2 2 3 2 3" xfId="11858" xr:uid="{E50C7443-F1F9-4F19-8B3F-BAFE2E1FCBE8}"/>
    <cellStyle name="Currency 5 3 2 2 2 3 3" xfId="5481" xr:uid="{00000000-0005-0000-0000-00008F0C0000}"/>
    <cellStyle name="Currency 5 3 2 2 2 3 3 2" xfId="13931" xr:uid="{9219F20F-0C87-4242-93E2-2EB23F494C87}"/>
    <cellStyle name="Currency 5 3 2 2 2 3 4" xfId="9713" xr:uid="{CC739FCA-B9F9-4D0C-98F1-7E1A2C18D85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43EA7A24-ABCE-434B-A080-81162631DF10}"/>
    <cellStyle name="Currency 5 3 2 2 2 4 2 3" xfId="12271" xr:uid="{48C5856B-E900-4806-A16F-30C22F9C7249}"/>
    <cellStyle name="Currency 5 3 2 2 2 4 3" xfId="5894" xr:uid="{00000000-0005-0000-0000-0000930C0000}"/>
    <cellStyle name="Currency 5 3 2 2 2 4 3 2" xfId="14344" xr:uid="{E6659E20-8E68-410F-9E60-66D9C6189998}"/>
    <cellStyle name="Currency 5 3 2 2 2 4 4" xfId="10126" xr:uid="{C3D100E9-08A2-4542-971A-9AEE4DA490D7}"/>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5E7969C1-9C65-4E73-A23A-B326459B55D5}"/>
    <cellStyle name="Currency 5 3 2 2 2 5 2 3" xfId="12684" xr:uid="{F12BE9DD-FBF9-432E-AAB8-C6023DAA0C95}"/>
    <cellStyle name="Currency 5 3 2 2 2 5 3" xfId="6307" xr:uid="{00000000-0005-0000-0000-0000970C0000}"/>
    <cellStyle name="Currency 5 3 2 2 2 5 3 2" xfId="14757" xr:uid="{DA21FA95-771C-4C90-BE15-4FF4137B691C}"/>
    <cellStyle name="Currency 5 3 2 2 2 5 4" xfId="10539" xr:uid="{D2A1C493-A678-4258-AE0C-4385AF50D13D}"/>
    <cellStyle name="Currency 5 3 2 2 2 6" xfId="2436" xr:uid="{00000000-0005-0000-0000-0000980C0000}"/>
    <cellStyle name="Currency 5 3 2 2 2 6 2" xfId="6720" xr:uid="{00000000-0005-0000-0000-0000990C0000}"/>
    <cellStyle name="Currency 5 3 2 2 2 6 2 2" xfId="15170" xr:uid="{88F1FB7D-11DD-4AD7-9143-4B6E1B225D79}"/>
    <cellStyle name="Currency 5 3 2 2 2 6 3" xfId="10952" xr:uid="{7D1719B4-0483-4100-B0A7-B969EF999E3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0F2C691E-D8C9-4028-AF96-4A39EE464ACC}"/>
    <cellStyle name="Currency 5 3 2 2 2 8 3" xfId="11269" xr:uid="{A7BF7EF2-F66B-4082-B179-DB4C84F5ACC7}"/>
    <cellStyle name="Currency 5 3 2 2 2 9" xfId="4654" xr:uid="{00000000-0005-0000-0000-00009D0C0000}"/>
    <cellStyle name="Currency 5 3 2 2 2 9 2" xfId="13104" xr:uid="{31DD19F4-D61F-4149-8328-90FB08D4A62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94F3B539-8FDB-4653-A5D1-3EBDB4772B6C}"/>
    <cellStyle name="Currency 5 3 2 2 3 2 3" xfId="11444" xr:uid="{D20E720F-55EB-43D7-B784-C56B1B589BAC}"/>
    <cellStyle name="Currency 5 3 2 2 3 3" xfId="5067" xr:uid="{00000000-0005-0000-0000-0000A10C0000}"/>
    <cellStyle name="Currency 5 3 2 2 3 3 2" xfId="13517" xr:uid="{1904499F-5E4F-45EF-A58E-55CDDC94BAB6}"/>
    <cellStyle name="Currency 5 3 2 2 3 4" xfId="9299" xr:uid="{330430F2-FFA8-4F7B-A7E1-8131E3DC04A7}"/>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7726F279-C329-4272-8A8B-71F82B6D72C8}"/>
    <cellStyle name="Currency 5 3 2 2 4 2 3" xfId="11857" xr:uid="{EC33510F-2E2A-41D1-A770-AC41B08736D7}"/>
    <cellStyle name="Currency 5 3 2 2 4 3" xfId="5480" xr:uid="{00000000-0005-0000-0000-0000A50C0000}"/>
    <cellStyle name="Currency 5 3 2 2 4 3 2" xfId="13930" xr:uid="{FF5B8859-DAC8-42E0-BD33-0A6ECB756BDE}"/>
    <cellStyle name="Currency 5 3 2 2 4 4" xfId="9712" xr:uid="{505E2B6F-872E-4C12-A4C8-92C3B87C720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60C9E715-9191-41F3-9252-FD0B55964B24}"/>
    <cellStyle name="Currency 5 3 2 2 5 2 3" xfId="12270" xr:uid="{DBFC0F99-E335-4C17-AB99-DC4E1BF9A7C1}"/>
    <cellStyle name="Currency 5 3 2 2 5 3" xfId="5893" xr:uid="{00000000-0005-0000-0000-0000A90C0000}"/>
    <cellStyle name="Currency 5 3 2 2 5 3 2" xfId="14343" xr:uid="{169E30BD-3DDA-495F-AEB6-964F2306B5F7}"/>
    <cellStyle name="Currency 5 3 2 2 5 4" xfId="10125" xr:uid="{E09C53A4-7AF5-4EF5-8DB5-C6BE6EB4B0C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573E586C-9731-4C79-A140-228BEF42137F}"/>
    <cellStyle name="Currency 5 3 2 2 6 2 3" xfId="12683" xr:uid="{7F9401FD-39BA-4F86-B062-5BDD4A9E4EED}"/>
    <cellStyle name="Currency 5 3 2 2 6 3" xfId="6306" xr:uid="{00000000-0005-0000-0000-0000AD0C0000}"/>
    <cellStyle name="Currency 5 3 2 2 6 3 2" xfId="14756" xr:uid="{EB21F537-FDF4-48BE-A4AE-3059BA1B0242}"/>
    <cellStyle name="Currency 5 3 2 2 6 4" xfId="10538" xr:uid="{9EC78863-D8A0-4356-8415-F53D7AA7BC58}"/>
    <cellStyle name="Currency 5 3 2 2 7" xfId="2435" xr:uid="{00000000-0005-0000-0000-0000AE0C0000}"/>
    <cellStyle name="Currency 5 3 2 2 7 2" xfId="6719" xr:uid="{00000000-0005-0000-0000-0000AF0C0000}"/>
    <cellStyle name="Currency 5 3 2 2 7 2 2" xfId="15169" xr:uid="{4D68AB70-BE92-45DA-B00F-0E004B2D88C7}"/>
    <cellStyle name="Currency 5 3 2 2 7 3" xfId="10951" xr:uid="{627EFE8D-BEA8-41AD-A925-8D3E21CA2A1B}"/>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CCFE6A3E-7B10-4775-BCA4-9012F0E44410}"/>
    <cellStyle name="Currency 5 3 2 2 9 3" xfId="11268" xr:uid="{97FC15D2-B04E-4949-B823-5EA97E02FA87}"/>
    <cellStyle name="Currency 5 3 2 3" xfId="213" xr:uid="{00000000-0005-0000-0000-0000B30C0000}"/>
    <cellStyle name="Currency 5 3 2 3 10" xfId="8887" xr:uid="{7275E624-0EBD-4612-9A2F-82B188128BA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F450EA72-9BDB-4FF3-BB5D-CEB61E49A3C3}"/>
    <cellStyle name="Currency 5 3 2 3 2 2 3" xfId="11446" xr:uid="{8E346D61-7DD8-4B7D-8FD3-AE1EC19173D1}"/>
    <cellStyle name="Currency 5 3 2 3 2 3" xfId="5069" xr:uid="{00000000-0005-0000-0000-0000B70C0000}"/>
    <cellStyle name="Currency 5 3 2 3 2 3 2" xfId="13519" xr:uid="{41CF7655-AEF5-4E91-BB7D-DAF602D166BA}"/>
    <cellStyle name="Currency 5 3 2 3 2 4" xfId="9301" xr:uid="{28D4F0BF-7428-4890-9464-283B6609E23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322C6743-5952-4832-BD2A-05F1B73DB6CF}"/>
    <cellStyle name="Currency 5 3 2 3 3 2 3" xfId="11859" xr:uid="{F904250C-9005-486D-A824-2B4606FA20DA}"/>
    <cellStyle name="Currency 5 3 2 3 3 3" xfId="5482" xr:uid="{00000000-0005-0000-0000-0000BB0C0000}"/>
    <cellStyle name="Currency 5 3 2 3 3 3 2" xfId="13932" xr:uid="{33CE2491-970E-41E2-9143-B40A8B311BB2}"/>
    <cellStyle name="Currency 5 3 2 3 3 4" xfId="9714" xr:uid="{A3F7490B-74D8-49F7-9ED9-B15E4793501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9AC7E041-2EF2-44E8-B274-DD1A4310592C}"/>
    <cellStyle name="Currency 5 3 2 3 4 2 3" xfId="12272" xr:uid="{4CE3E870-6D89-4651-9401-A2A0E22998B2}"/>
    <cellStyle name="Currency 5 3 2 3 4 3" xfId="5895" xr:uid="{00000000-0005-0000-0000-0000BF0C0000}"/>
    <cellStyle name="Currency 5 3 2 3 4 3 2" xfId="14345" xr:uid="{BFF7C02F-9130-45BC-B607-377EEBE308FE}"/>
    <cellStyle name="Currency 5 3 2 3 4 4" xfId="10127" xr:uid="{DD43F001-8F35-45CF-9600-74AD7FAA4AAD}"/>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17FB986C-CB14-41CE-B40F-7B48761A1DDD}"/>
    <cellStyle name="Currency 5 3 2 3 5 2 3" xfId="12685" xr:uid="{E46F2B8A-FAD9-44B0-9D76-948B120FC642}"/>
    <cellStyle name="Currency 5 3 2 3 5 3" xfId="6308" xr:uid="{00000000-0005-0000-0000-0000C30C0000}"/>
    <cellStyle name="Currency 5 3 2 3 5 3 2" xfId="14758" xr:uid="{2142803C-1E63-443B-A175-10281ADFBD3E}"/>
    <cellStyle name="Currency 5 3 2 3 5 4" xfId="10540" xr:uid="{7D750CF2-DB43-4F5E-8261-68244CE4A5C9}"/>
    <cellStyle name="Currency 5 3 2 3 6" xfId="2437" xr:uid="{00000000-0005-0000-0000-0000C40C0000}"/>
    <cellStyle name="Currency 5 3 2 3 6 2" xfId="6721" xr:uid="{00000000-0005-0000-0000-0000C50C0000}"/>
    <cellStyle name="Currency 5 3 2 3 6 2 2" xfId="15171" xr:uid="{ACFAD9ED-5842-454C-9D77-72A58912C182}"/>
    <cellStyle name="Currency 5 3 2 3 6 3" xfId="10953" xr:uid="{2DC2A721-48DD-4CF1-A8C3-1D4DF78C3600}"/>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F82D8DD7-853E-4820-B4E9-332C351B969D}"/>
    <cellStyle name="Currency 5 3 2 3 8 3" xfId="11270" xr:uid="{D0515BE1-F688-4DFC-B8B5-B6E9B286BFA8}"/>
    <cellStyle name="Currency 5 3 2 3 9" xfId="4655" xr:uid="{00000000-0005-0000-0000-0000C90C0000}"/>
    <cellStyle name="Currency 5 3 2 3 9 2" xfId="13105" xr:uid="{A26416C4-BF93-4DC4-8615-912C00B32BB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CCDEE204-0071-4AB1-A5DD-7F0BE327D5CD}"/>
    <cellStyle name="Currency 5 3 2 4 2 3" xfId="11443" xr:uid="{50D70E21-3E59-46DF-8A69-E571136B8AF0}"/>
    <cellStyle name="Currency 5 3 2 4 3" xfId="5066" xr:uid="{00000000-0005-0000-0000-0000CD0C0000}"/>
    <cellStyle name="Currency 5 3 2 4 3 2" xfId="13516" xr:uid="{F912961C-35D8-4FD9-BCCE-1C481E59DB25}"/>
    <cellStyle name="Currency 5 3 2 4 4" xfId="9298" xr:uid="{85C97A38-B6D2-4BDB-A0F0-D91896BB97D7}"/>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3B18A9D6-401D-4DE9-AECE-356EA4440955}"/>
    <cellStyle name="Currency 5 3 2 5 2 3" xfId="11856" xr:uid="{F9B3C739-5581-4390-988F-06C472806EA1}"/>
    <cellStyle name="Currency 5 3 2 5 3" xfId="5479" xr:uid="{00000000-0005-0000-0000-0000D10C0000}"/>
    <cellStyle name="Currency 5 3 2 5 3 2" xfId="13929" xr:uid="{69C4CA1B-3423-49C8-8CE7-14576E71452B}"/>
    <cellStyle name="Currency 5 3 2 5 4" xfId="9711" xr:uid="{B4643245-1570-4674-8CCB-16071CC43CDD}"/>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D2F5CD4F-2B49-4B28-8117-2E650F7D4EE2}"/>
    <cellStyle name="Currency 5 3 2 6 2 3" xfId="12269" xr:uid="{3B3B4CB5-604F-461B-B50A-85A1E8B27A3A}"/>
    <cellStyle name="Currency 5 3 2 6 3" xfId="5892" xr:uid="{00000000-0005-0000-0000-0000D50C0000}"/>
    <cellStyle name="Currency 5 3 2 6 3 2" xfId="14342" xr:uid="{CD25D138-8414-4AA0-BA1B-15A8EA3B1CBE}"/>
    <cellStyle name="Currency 5 3 2 6 4" xfId="10124" xr:uid="{5C83E434-3675-4A5F-99F7-B60CD9FC5F57}"/>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BE6938FC-19FB-4E53-8735-24B6910CD8B7}"/>
    <cellStyle name="Currency 5 3 2 7 2 3" xfId="12682" xr:uid="{08BCC3E1-7285-4603-98E0-867817FF1A76}"/>
    <cellStyle name="Currency 5 3 2 7 3" xfId="6305" xr:uid="{00000000-0005-0000-0000-0000D90C0000}"/>
    <cellStyle name="Currency 5 3 2 7 3 2" xfId="14755" xr:uid="{696E49DC-3AF5-44B9-912A-B74698AFD5D0}"/>
    <cellStyle name="Currency 5 3 2 7 4" xfId="10537" xr:uid="{3BCD50A4-BEAB-484B-BB37-CE5CF0279A25}"/>
    <cellStyle name="Currency 5 3 2 8" xfId="2434" xr:uid="{00000000-0005-0000-0000-0000DA0C0000}"/>
    <cellStyle name="Currency 5 3 2 8 2" xfId="6718" xr:uid="{00000000-0005-0000-0000-0000DB0C0000}"/>
    <cellStyle name="Currency 5 3 2 8 2 2" xfId="15168" xr:uid="{EB62A602-FEC6-434F-B92C-F0D53F367FDA}"/>
    <cellStyle name="Currency 5 3 2 8 3" xfId="10950" xr:uid="{F2815041-DBA2-433F-864C-F2A88AB82D06}"/>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89DF87F4-85AC-419B-9EFD-CD2C3213360E}"/>
    <cellStyle name="Currency 5 3 3 11" xfId="8888" xr:uid="{2612F069-5CA5-4EC6-8D8A-C08907EA2775}"/>
    <cellStyle name="Currency 5 3 3 2" xfId="215" xr:uid="{00000000-0005-0000-0000-0000DF0C0000}"/>
    <cellStyle name="Currency 5 3 3 2 10" xfId="8889" xr:uid="{C081B33E-B3E3-42B0-93A1-2E2F0365CFA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1BEDAC21-AD58-494C-B9E4-961AB025B7C0}"/>
    <cellStyle name="Currency 5 3 3 2 2 2 3" xfId="11448" xr:uid="{367F6298-0D6A-441D-AD1E-B733ECDC964D}"/>
    <cellStyle name="Currency 5 3 3 2 2 3" xfId="5071" xr:uid="{00000000-0005-0000-0000-0000E30C0000}"/>
    <cellStyle name="Currency 5 3 3 2 2 3 2" xfId="13521" xr:uid="{B15D04C7-89CB-4F4A-84E6-51953D66C55D}"/>
    <cellStyle name="Currency 5 3 3 2 2 4" xfId="9303" xr:uid="{FA516960-90F4-4C2C-B2AD-AC32DE82E47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85533D19-5089-4748-842A-2FD4942EFA53}"/>
    <cellStyle name="Currency 5 3 3 2 3 2 3" xfId="11861" xr:uid="{E532A790-1BB0-4EC2-A3E8-3F26FE9C3110}"/>
    <cellStyle name="Currency 5 3 3 2 3 3" xfId="5484" xr:uid="{00000000-0005-0000-0000-0000E70C0000}"/>
    <cellStyle name="Currency 5 3 3 2 3 3 2" xfId="13934" xr:uid="{6CED8D14-13A7-43A3-8FDD-088A7DA47928}"/>
    <cellStyle name="Currency 5 3 3 2 3 4" xfId="9716" xr:uid="{58FEBACC-E097-44B3-8BB0-74830B0B4C62}"/>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DF083E5-95ED-4009-90E7-A6600981F5B9}"/>
    <cellStyle name="Currency 5 3 3 2 4 2 3" xfId="12274" xr:uid="{43CC8A20-42F9-4EA6-9CBD-DD0D6BCB773C}"/>
    <cellStyle name="Currency 5 3 3 2 4 3" xfId="5897" xr:uid="{00000000-0005-0000-0000-0000EB0C0000}"/>
    <cellStyle name="Currency 5 3 3 2 4 3 2" xfId="14347" xr:uid="{D9AD5E20-EC91-44C6-89B6-2976A6775AD6}"/>
    <cellStyle name="Currency 5 3 3 2 4 4" xfId="10129" xr:uid="{9F21CAF0-8CDD-4DD3-936F-B5EC79213ED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4824C0C8-B811-4C80-B6FC-8C574AE1CAC6}"/>
    <cellStyle name="Currency 5 3 3 2 5 2 3" xfId="12687" xr:uid="{219ECEE5-D086-478C-A020-B10300CD79B4}"/>
    <cellStyle name="Currency 5 3 3 2 5 3" xfId="6310" xr:uid="{00000000-0005-0000-0000-0000EF0C0000}"/>
    <cellStyle name="Currency 5 3 3 2 5 3 2" xfId="14760" xr:uid="{4DF4D81B-3AAD-4890-9F29-B239675BBF5B}"/>
    <cellStyle name="Currency 5 3 3 2 5 4" xfId="10542" xr:uid="{85E68260-78AE-4AB7-BEBF-C2709114DC0C}"/>
    <cellStyle name="Currency 5 3 3 2 6" xfId="2439" xr:uid="{00000000-0005-0000-0000-0000F00C0000}"/>
    <cellStyle name="Currency 5 3 3 2 6 2" xfId="6723" xr:uid="{00000000-0005-0000-0000-0000F10C0000}"/>
    <cellStyle name="Currency 5 3 3 2 6 2 2" xfId="15173" xr:uid="{ABCE4FBF-B2CB-4E65-95DD-DBC1447678C9}"/>
    <cellStyle name="Currency 5 3 3 2 6 3" xfId="10955" xr:uid="{3144259B-4212-4EAB-AE14-E6D41A9BA523}"/>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1AC25724-37EE-44B3-BF54-737C5787093A}"/>
    <cellStyle name="Currency 5 3 3 2 8 3" xfId="11272" xr:uid="{EE366674-75ED-4B89-A2DB-B212EC3A0954}"/>
    <cellStyle name="Currency 5 3 3 2 9" xfId="4657" xr:uid="{00000000-0005-0000-0000-0000F50C0000}"/>
    <cellStyle name="Currency 5 3 3 2 9 2" xfId="13107" xr:uid="{70DABEC8-FCF4-4B27-BA91-2E00E11C1DD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80B26D03-1BC4-4B50-988F-020C818151D9}"/>
    <cellStyle name="Currency 5 3 3 3 2 3" xfId="11447" xr:uid="{91E4600C-357D-4FA1-98C9-F88513E155A5}"/>
    <cellStyle name="Currency 5 3 3 3 3" xfId="5070" xr:uid="{00000000-0005-0000-0000-0000F90C0000}"/>
    <cellStyle name="Currency 5 3 3 3 3 2" xfId="13520" xr:uid="{C1EFACC9-AD8F-4B92-8037-0FF20E120996}"/>
    <cellStyle name="Currency 5 3 3 3 4" xfId="9302" xr:uid="{874927C9-8A60-46A0-8243-F19438252763}"/>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971D2CCC-3A14-4A0E-8020-6B7CE484E8EF}"/>
    <cellStyle name="Currency 5 3 3 4 2 3" xfId="11860" xr:uid="{9D478341-1BD3-4AE2-806F-642BDDFB2A54}"/>
    <cellStyle name="Currency 5 3 3 4 3" xfId="5483" xr:uid="{00000000-0005-0000-0000-0000FD0C0000}"/>
    <cellStyle name="Currency 5 3 3 4 3 2" xfId="13933" xr:uid="{D9F81450-9762-4691-A4CE-5A16294E2071}"/>
    <cellStyle name="Currency 5 3 3 4 4" xfId="9715" xr:uid="{C76E2A59-DFC9-4B7F-B1D1-21B6956902F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4B69E851-B49D-411A-997F-6B809A243E43}"/>
    <cellStyle name="Currency 5 3 3 5 2 3" xfId="12273" xr:uid="{D2D3AB47-3761-4565-9AAA-48FDB7E906CE}"/>
    <cellStyle name="Currency 5 3 3 5 3" xfId="5896" xr:uid="{00000000-0005-0000-0000-0000010D0000}"/>
    <cellStyle name="Currency 5 3 3 5 3 2" xfId="14346" xr:uid="{7FCB5E5E-154F-411D-84A8-D6D221121B49}"/>
    <cellStyle name="Currency 5 3 3 5 4" xfId="10128" xr:uid="{0D271D25-6B5C-4A9C-B847-F6D81B93BA9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CDB7B4D8-76D9-4832-A5EC-98E81C79F3B6}"/>
    <cellStyle name="Currency 5 3 3 6 2 3" xfId="12686" xr:uid="{40DC2F50-CD47-4ED1-BF06-FFDDA8BBFDDF}"/>
    <cellStyle name="Currency 5 3 3 6 3" xfId="6309" xr:uid="{00000000-0005-0000-0000-0000050D0000}"/>
    <cellStyle name="Currency 5 3 3 6 3 2" xfId="14759" xr:uid="{A630DBA7-4B23-4AB6-8DE0-7D35C430056F}"/>
    <cellStyle name="Currency 5 3 3 6 4" xfId="10541" xr:uid="{4EF924ED-3D1D-41BD-A6C2-BAD0E471C58D}"/>
    <cellStyle name="Currency 5 3 3 7" xfId="2438" xr:uid="{00000000-0005-0000-0000-0000060D0000}"/>
    <cellStyle name="Currency 5 3 3 7 2" xfId="6722" xr:uid="{00000000-0005-0000-0000-0000070D0000}"/>
    <cellStyle name="Currency 5 3 3 7 2 2" xfId="15172" xr:uid="{226F1075-0EB9-4B19-A6C1-01F4DA39FBD2}"/>
    <cellStyle name="Currency 5 3 3 7 3" xfId="10954" xr:uid="{806AC887-343E-44A1-98AE-D371DE3F17B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5DA57DCA-8F55-460C-82F5-8A2D7A4493DA}"/>
    <cellStyle name="Currency 5 3 3 9 3" xfId="11271" xr:uid="{FF922C9E-A5DF-4715-AC60-3F183358B20E}"/>
    <cellStyle name="Currency 5 3 4" xfId="216" xr:uid="{00000000-0005-0000-0000-00000B0D0000}"/>
    <cellStyle name="Currency 5 3 4 10" xfId="8890" xr:uid="{1A07EA1E-4989-4443-96E1-3C1F7BF4DBE0}"/>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C0B1C175-CB17-4FAB-A88D-3211E8116433}"/>
    <cellStyle name="Currency 5 3 4 2 2 3" xfId="11449" xr:uid="{5F104538-238E-421C-8AAA-1781B24B1380}"/>
    <cellStyle name="Currency 5 3 4 2 3" xfId="5072" xr:uid="{00000000-0005-0000-0000-00000F0D0000}"/>
    <cellStyle name="Currency 5 3 4 2 3 2" xfId="13522" xr:uid="{BF8F4F9C-9D4A-45A5-B576-C5E1C812F639}"/>
    <cellStyle name="Currency 5 3 4 2 4" xfId="9304" xr:uid="{E21D33AA-1D28-4197-A43E-270AC18901B9}"/>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FB8608DD-7B6D-4C5A-86BD-3F0C09438788}"/>
    <cellStyle name="Currency 5 3 4 3 2 3" xfId="11862" xr:uid="{E38E498B-ADFB-4588-A7F5-C4F78B8EED04}"/>
    <cellStyle name="Currency 5 3 4 3 3" xfId="5485" xr:uid="{00000000-0005-0000-0000-0000130D0000}"/>
    <cellStyle name="Currency 5 3 4 3 3 2" xfId="13935" xr:uid="{5EEEEEC5-E703-41FF-9EBF-F608FBDDE1F2}"/>
    <cellStyle name="Currency 5 3 4 3 4" xfId="9717" xr:uid="{8E0F300D-0CC3-4D10-BCE9-5C252093980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2CAB9751-DE2F-4728-8EF4-AEB144A08209}"/>
    <cellStyle name="Currency 5 3 4 4 2 3" xfId="12275" xr:uid="{F9AA71CA-C28C-4C7A-9211-9BB9352E35AD}"/>
    <cellStyle name="Currency 5 3 4 4 3" xfId="5898" xr:uid="{00000000-0005-0000-0000-0000170D0000}"/>
    <cellStyle name="Currency 5 3 4 4 3 2" xfId="14348" xr:uid="{D4EB6664-7C39-4144-8DA3-70D7C257AF5B}"/>
    <cellStyle name="Currency 5 3 4 4 4" xfId="10130" xr:uid="{36973895-00DB-47C6-84A5-6E17D2B862DC}"/>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2761DE50-3AB7-4442-BB6B-30F7723E0ABE}"/>
    <cellStyle name="Currency 5 3 4 5 2 3" xfId="12688" xr:uid="{16449B4D-79D3-4376-81A7-4D43EA0DD4B2}"/>
    <cellStyle name="Currency 5 3 4 5 3" xfId="6311" xr:uid="{00000000-0005-0000-0000-00001B0D0000}"/>
    <cellStyle name="Currency 5 3 4 5 3 2" xfId="14761" xr:uid="{FE6A1A8C-4346-4A4E-A3BB-C1198D60C47D}"/>
    <cellStyle name="Currency 5 3 4 5 4" xfId="10543" xr:uid="{0ACDFDE3-8F7A-4603-9C9F-D65500BCFE38}"/>
    <cellStyle name="Currency 5 3 4 6" xfId="2440" xr:uid="{00000000-0005-0000-0000-00001C0D0000}"/>
    <cellStyle name="Currency 5 3 4 6 2" xfId="6724" xr:uid="{00000000-0005-0000-0000-00001D0D0000}"/>
    <cellStyle name="Currency 5 3 4 6 2 2" xfId="15174" xr:uid="{692C8937-E678-4743-8AB7-8174179563B0}"/>
    <cellStyle name="Currency 5 3 4 6 3" xfId="10956" xr:uid="{5454DE23-167F-403E-B7F2-B8813819032B}"/>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0BF647F2-1EDE-4922-A1C6-E6780E211A09}"/>
    <cellStyle name="Currency 5 3 4 8 3" xfId="11273" xr:uid="{D044EB50-F223-47C7-BEA3-C1E31C5ECC6C}"/>
    <cellStyle name="Currency 5 3 4 9" xfId="4658" xr:uid="{00000000-0005-0000-0000-0000210D0000}"/>
    <cellStyle name="Currency 5 3 4 9 2" xfId="13108" xr:uid="{E6D96B0E-C4B7-4FD3-8804-C7351182BD88}"/>
    <cellStyle name="Currency 5 3 5" xfId="217" xr:uid="{00000000-0005-0000-0000-0000220D0000}"/>
    <cellStyle name="Currency 5 3 5 10" xfId="8891" xr:uid="{F9F9415C-3FBB-445D-B6CD-F0D2FB58623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C97FAD9B-A9F4-4A6E-94EE-81DEE667A99B}"/>
    <cellStyle name="Currency 5 3 5 2 2 3" xfId="11450" xr:uid="{4C398A11-1CE4-4C0D-B7EA-41D2D2283ECC}"/>
    <cellStyle name="Currency 5 3 5 2 3" xfId="5073" xr:uid="{00000000-0005-0000-0000-0000260D0000}"/>
    <cellStyle name="Currency 5 3 5 2 3 2" xfId="13523" xr:uid="{3931C9EA-EB4E-414B-9169-8D983A5CC5BB}"/>
    <cellStyle name="Currency 5 3 5 2 4" xfId="9305" xr:uid="{6982AA41-55B5-4CA2-9629-5BF89D7DB18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BA8B5D49-6E5A-4F8B-BC1F-39336AA2EE49}"/>
    <cellStyle name="Currency 5 3 5 3 2 3" xfId="11863" xr:uid="{A83C29C4-AD93-44EE-B51F-3F867DAEAC97}"/>
    <cellStyle name="Currency 5 3 5 3 3" xfId="5486" xr:uid="{00000000-0005-0000-0000-00002A0D0000}"/>
    <cellStyle name="Currency 5 3 5 3 3 2" xfId="13936" xr:uid="{1B936B4A-69AE-48A5-9743-5A23D6AAFB86}"/>
    <cellStyle name="Currency 5 3 5 3 4" xfId="9718" xr:uid="{27D45D89-3BC5-4495-890F-E7BAD578F1B5}"/>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A1FA8E05-AC1E-4C4E-8D90-CBEC323DF3C9}"/>
    <cellStyle name="Currency 5 3 5 4 2 3" xfId="12276" xr:uid="{15DE2F39-D5E2-4B25-BA9D-682BF9CD4824}"/>
    <cellStyle name="Currency 5 3 5 4 3" xfId="5899" xr:uid="{00000000-0005-0000-0000-00002E0D0000}"/>
    <cellStyle name="Currency 5 3 5 4 3 2" xfId="14349" xr:uid="{2D11C8CF-D44F-4269-95B0-F21B07277709}"/>
    <cellStyle name="Currency 5 3 5 4 4" xfId="10131" xr:uid="{14F2CA29-5D42-4E19-A77D-2E88137BF29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BE9ED73C-674C-4140-A3C8-A19E8D3C20F7}"/>
    <cellStyle name="Currency 5 3 5 5 2 3" xfId="12689" xr:uid="{E9C73354-F92A-44AC-8E28-59FBABAE59DE}"/>
    <cellStyle name="Currency 5 3 5 5 3" xfId="6312" xr:uid="{00000000-0005-0000-0000-0000320D0000}"/>
    <cellStyle name="Currency 5 3 5 5 3 2" xfId="14762" xr:uid="{4E13F41F-8952-46C5-8A82-65F1A323EAA7}"/>
    <cellStyle name="Currency 5 3 5 5 4" xfId="10544" xr:uid="{3E9E5CC9-B83F-4499-842E-9A3AC786B146}"/>
    <cellStyle name="Currency 5 3 5 6" xfId="2441" xr:uid="{00000000-0005-0000-0000-0000330D0000}"/>
    <cellStyle name="Currency 5 3 5 6 2" xfId="6725" xr:uid="{00000000-0005-0000-0000-0000340D0000}"/>
    <cellStyle name="Currency 5 3 5 6 2 2" xfId="15175" xr:uid="{FFB01D3F-7232-4483-98EF-88CD0679365A}"/>
    <cellStyle name="Currency 5 3 5 6 3" xfId="10957" xr:uid="{D5E30B3F-33EF-4318-9AE5-917157E98812}"/>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068B99BB-06F7-438B-BEB8-EB08E79C807C}"/>
    <cellStyle name="Currency 5 3 5 8 3" xfId="11274" xr:uid="{2C4D7922-D0B1-46A5-B627-AB75654C6AFD}"/>
    <cellStyle name="Currency 5 3 5 9" xfId="4659" xr:uid="{00000000-0005-0000-0000-0000380D0000}"/>
    <cellStyle name="Currency 5 3 5 9 2" xfId="13109" xr:uid="{150E539C-21CF-4880-8A65-9C81CB6902A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9AB19746-820C-4F78-8EC4-FE00EEFC9B89}"/>
    <cellStyle name="Currency 5 5 11" xfId="8892" xr:uid="{13283926-1C78-495F-87C3-76BA3B1965F8}"/>
    <cellStyle name="Currency 5 5 2" xfId="220" xr:uid="{00000000-0005-0000-0000-00003D0D0000}"/>
    <cellStyle name="Currency 5 5 2 10" xfId="8893" xr:uid="{3F67C588-645B-4E89-BA20-4D00028D318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4D7349C4-1315-4B92-A671-CAD27FE3B461}"/>
    <cellStyle name="Currency 5 5 2 2 2 3" xfId="11452" xr:uid="{26EA0CDB-CAA2-4B72-A6DC-0FD613B9C260}"/>
    <cellStyle name="Currency 5 5 2 2 3" xfId="5075" xr:uid="{00000000-0005-0000-0000-0000410D0000}"/>
    <cellStyle name="Currency 5 5 2 2 3 2" xfId="13525" xr:uid="{FCF67158-FE15-4261-B2A2-0A998EA24546}"/>
    <cellStyle name="Currency 5 5 2 2 4" xfId="9307" xr:uid="{274A8A87-ED98-461F-94F1-D842AFB67D53}"/>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B6025891-BA7B-41C5-894A-7191FAA66761}"/>
    <cellStyle name="Currency 5 5 2 3 2 3" xfId="11865" xr:uid="{52C3B5BE-D69B-437E-8A61-ED866D5DCB28}"/>
    <cellStyle name="Currency 5 5 2 3 3" xfId="5488" xr:uid="{00000000-0005-0000-0000-0000450D0000}"/>
    <cellStyle name="Currency 5 5 2 3 3 2" xfId="13938" xr:uid="{ABDA469E-DF71-44F8-B5E6-41FE01E695D1}"/>
    <cellStyle name="Currency 5 5 2 3 4" xfId="9720" xr:uid="{23127325-C36D-44D2-BE0E-B264362756E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9180B852-4E4B-4500-B327-6499064777BC}"/>
    <cellStyle name="Currency 5 5 2 4 2 3" xfId="12278" xr:uid="{FD7C6B76-0665-471F-8DE5-986A49FB440F}"/>
    <cellStyle name="Currency 5 5 2 4 3" xfId="5901" xr:uid="{00000000-0005-0000-0000-0000490D0000}"/>
    <cellStyle name="Currency 5 5 2 4 3 2" xfId="14351" xr:uid="{09694123-F04B-459B-86BC-767DCB04339B}"/>
    <cellStyle name="Currency 5 5 2 4 4" xfId="10133" xr:uid="{21DE5CEA-C05F-48FD-9107-CF692A90BB6A}"/>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2F8AD8B5-BE21-415A-8BFC-6CF03E8A17C9}"/>
    <cellStyle name="Currency 5 5 2 5 2 3" xfId="12691" xr:uid="{F9CAD467-CA47-401B-A3DD-BF81A8D1079E}"/>
    <cellStyle name="Currency 5 5 2 5 3" xfId="6314" xr:uid="{00000000-0005-0000-0000-00004D0D0000}"/>
    <cellStyle name="Currency 5 5 2 5 3 2" xfId="14764" xr:uid="{29F5C1A1-E9E5-4086-BF61-93E10827A6D9}"/>
    <cellStyle name="Currency 5 5 2 5 4" xfId="10546" xr:uid="{D28636A9-5F6C-45B0-8BD8-3291785D1F1B}"/>
    <cellStyle name="Currency 5 5 2 6" xfId="2443" xr:uid="{00000000-0005-0000-0000-00004E0D0000}"/>
    <cellStyle name="Currency 5 5 2 6 2" xfId="6727" xr:uid="{00000000-0005-0000-0000-00004F0D0000}"/>
    <cellStyle name="Currency 5 5 2 6 2 2" xfId="15177" xr:uid="{0009AA66-7CEB-43E9-859E-3397B5F86CAF}"/>
    <cellStyle name="Currency 5 5 2 6 3" xfId="10959" xr:uid="{FFDCD7F8-06CD-435A-A0BA-C676CBA60CD3}"/>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37C7E899-2539-47BC-9CBC-6BF77A6519FF}"/>
    <cellStyle name="Currency 5 5 2 8 3" xfId="11276" xr:uid="{CE5B8AF9-59AB-4813-9435-0541559AE9EF}"/>
    <cellStyle name="Currency 5 5 2 9" xfId="4661" xr:uid="{00000000-0005-0000-0000-0000530D0000}"/>
    <cellStyle name="Currency 5 5 2 9 2" xfId="13111" xr:uid="{4B467664-BA52-4234-B5F6-5BE4AC14851B}"/>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4A6229E7-49A3-4E3F-A648-288A84E9DB73}"/>
    <cellStyle name="Currency 5 5 3 2 3" xfId="11451" xr:uid="{A75D90E9-17B0-48AA-B53F-262E9445908D}"/>
    <cellStyle name="Currency 5 5 3 3" xfId="5074" xr:uid="{00000000-0005-0000-0000-0000570D0000}"/>
    <cellStyle name="Currency 5 5 3 3 2" xfId="13524" xr:uid="{11E3D026-079C-4ED5-A86D-EFD5C6691517}"/>
    <cellStyle name="Currency 5 5 3 4" xfId="9306" xr:uid="{E53E3ED4-4EEF-4E63-A45A-2BF92FD02A2B}"/>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446E0BE5-8306-48A9-992D-8D98EF4D456E}"/>
    <cellStyle name="Currency 5 5 4 2 3" xfId="11864" xr:uid="{520EEB61-DDD3-43E4-B164-AD6AF08C68F0}"/>
    <cellStyle name="Currency 5 5 4 3" xfId="5487" xr:uid="{00000000-0005-0000-0000-00005B0D0000}"/>
    <cellStyle name="Currency 5 5 4 3 2" xfId="13937" xr:uid="{8D5F542E-C8BD-4A7E-9631-CF1334768093}"/>
    <cellStyle name="Currency 5 5 4 4" xfId="9719" xr:uid="{996EA0A7-3CC6-4E40-8BA1-54B85F5345CC}"/>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59D6B28F-7AC3-48AC-BE48-09556A722FD1}"/>
    <cellStyle name="Currency 5 5 5 2 3" xfId="12277" xr:uid="{4C4D651E-6F28-422C-AB3A-2A2F48592630}"/>
    <cellStyle name="Currency 5 5 5 3" xfId="5900" xr:uid="{00000000-0005-0000-0000-00005F0D0000}"/>
    <cellStyle name="Currency 5 5 5 3 2" xfId="14350" xr:uid="{5C8E3784-5138-4F13-89C1-470E67DA5FD6}"/>
    <cellStyle name="Currency 5 5 5 4" xfId="10132" xr:uid="{4CB10219-C780-4F9D-8E48-5B11EA963279}"/>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2EB6CAED-8154-41B1-B618-2884D1457CDE}"/>
    <cellStyle name="Currency 5 5 6 2 3" xfId="12690" xr:uid="{B966AD22-7859-40AA-ACA6-FCD309D56349}"/>
    <cellStyle name="Currency 5 5 6 3" xfId="6313" xr:uid="{00000000-0005-0000-0000-0000630D0000}"/>
    <cellStyle name="Currency 5 5 6 3 2" xfId="14763" xr:uid="{8B576B49-AF41-43B0-B496-CC73E245702C}"/>
    <cellStyle name="Currency 5 5 6 4" xfId="10545" xr:uid="{F07AEA69-58C5-4759-BF5A-C60C23BA5D38}"/>
    <cellStyle name="Currency 5 5 7" xfId="2442" xr:uid="{00000000-0005-0000-0000-0000640D0000}"/>
    <cellStyle name="Currency 5 5 7 2" xfId="6726" xr:uid="{00000000-0005-0000-0000-0000650D0000}"/>
    <cellStyle name="Currency 5 5 7 2 2" xfId="15176" xr:uid="{BF418EE6-78B5-4847-B7A2-F233B219156E}"/>
    <cellStyle name="Currency 5 5 7 3" xfId="10958" xr:uid="{FD3E303A-00E5-49DF-B84B-9A35EA58CE63}"/>
    <cellStyle name="Currency 5 5 8" xfId="2739" xr:uid="{00000000-0005-0000-0000-0000660D0000}"/>
    <cellStyle name="Currency 5 5 9" xfId="2820" xr:uid="{00000000-0005-0000-0000-0000670D0000}"/>
    <cellStyle name="Currency 5 5 9 2" xfId="7043" xr:uid="{00000000-0005-0000-0000-0000680D0000}"/>
    <cellStyle name="Currency 5 5 9 2 2" xfId="15493" xr:uid="{018093D7-ED95-4A97-8A7B-BF8FB135F48C}"/>
    <cellStyle name="Currency 5 5 9 3" xfId="11275" xr:uid="{B260691B-A3AB-4BE1-98EA-32AB69642A46}"/>
    <cellStyle name="Currency 5 6" xfId="221" xr:uid="{00000000-0005-0000-0000-0000690D0000}"/>
    <cellStyle name="Currency 5 6 10" xfId="8894" xr:uid="{CE22B48A-E946-4C5E-8BC9-F9E24CF8E956}"/>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CBAC8BC2-2B48-4025-8183-14E5E382D01F}"/>
    <cellStyle name="Currency 5 6 2 2 3" xfId="11453" xr:uid="{65814E26-0916-4C41-BC6A-83DAF364DEB7}"/>
    <cellStyle name="Currency 5 6 2 3" xfId="5076" xr:uid="{00000000-0005-0000-0000-00006D0D0000}"/>
    <cellStyle name="Currency 5 6 2 3 2" xfId="13526" xr:uid="{2355A3C0-8549-4BA5-A93F-B1B8CE5E76D4}"/>
    <cellStyle name="Currency 5 6 2 4" xfId="9308" xr:uid="{7E338E0E-4E57-40FD-A5C9-289C86A48B4E}"/>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9EF3DEF9-319E-4B65-B169-F599C8B4CB17}"/>
    <cellStyle name="Currency 5 6 3 2 3" xfId="11866" xr:uid="{4E7BAD3B-4884-4DA9-8604-B320ABEF9488}"/>
    <cellStyle name="Currency 5 6 3 3" xfId="5489" xr:uid="{00000000-0005-0000-0000-0000710D0000}"/>
    <cellStyle name="Currency 5 6 3 3 2" xfId="13939" xr:uid="{A376624C-329D-4377-9C78-EC1D8E9F7FE8}"/>
    <cellStyle name="Currency 5 6 3 4" xfId="9721" xr:uid="{FB94C402-8BE8-4B2F-93DC-E12D14D67002}"/>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FA8EA994-407C-429A-9591-5F0CC0AFA266}"/>
    <cellStyle name="Currency 5 6 4 2 3" xfId="12279" xr:uid="{8C770B38-B2DA-480C-AB49-215F5CE5EB84}"/>
    <cellStyle name="Currency 5 6 4 3" xfId="5902" xr:uid="{00000000-0005-0000-0000-0000750D0000}"/>
    <cellStyle name="Currency 5 6 4 3 2" xfId="14352" xr:uid="{5BD92D4B-8223-46F3-B984-2F83F7403974}"/>
    <cellStyle name="Currency 5 6 4 4" xfId="10134" xr:uid="{D829563B-9E74-4CCD-BCA4-4B5EFB338C55}"/>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F2B8108A-22E7-4F2C-A307-F3653DE8807C}"/>
    <cellStyle name="Currency 5 6 5 2 3" xfId="12692" xr:uid="{7CED4FC4-4394-4D76-8301-4BDB70B39B20}"/>
    <cellStyle name="Currency 5 6 5 3" xfId="6315" xr:uid="{00000000-0005-0000-0000-0000790D0000}"/>
    <cellStyle name="Currency 5 6 5 3 2" xfId="14765" xr:uid="{AEE5F3E5-A844-4D0F-A7A6-F9E57462A424}"/>
    <cellStyle name="Currency 5 6 5 4" xfId="10547" xr:uid="{26837F53-CC26-446A-9DDC-05F11EAA0F95}"/>
    <cellStyle name="Currency 5 6 6" xfId="2444" xr:uid="{00000000-0005-0000-0000-00007A0D0000}"/>
    <cellStyle name="Currency 5 6 6 2" xfId="6728" xr:uid="{00000000-0005-0000-0000-00007B0D0000}"/>
    <cellStyle name="Currency 5 6 6 2 2" xfId="15178" xr:uid="{0F52A8A9-8EFE-451F-95DA-4E4CB774F745}"/>
    <cellStyle name="Currency 5 6 6 3" xfId="10960" xr:uid="{568789C5-2920-4CD1-9DCB-7E4920894E60}"/>
    <cellStyle name="Currency 5 6 7" xfId="2741" xr:uid="{00000000-0005-0000-0000-00007C0D0000}"/>
    <cellStyle name="Currency 5 6 8" xfId="2822" xr:uid="{00000000-0005-0000-0000-00007D0D0000}"/>
    <cellStyle name="Currency 5 6 8 2" xfId="7045" xr:uid="{00000000-0005-0000-0000-00007E0D0000}"/>
    <cellStyle name="Currency 5 6 8 2 2" xfId="15495" xr:uid="{7C986869-36DE-4DB1-A3B5-451114B987C7}"/>
    <cellStyle name="Currency 5 6 8 3" xfId="11277" xr:uid="{A8AAB62F-432D-4076-8FEF-D436B1EB74EB}"/>
    <cellStyle name="Currency 5 6 9" xfId="4662" xr:uid="{00000000-0005-0000-0000-00007F0D0000}"/>
    <cellStyle name="Currency 5 6 9 2" xfId="13112" xr:uid="{B85D8EFF-A449-47A5-9AA4-E2D8C287EBF1}"/>
    <cellStyle name="Currency 5 7" xfId="222" xr:uid="{00000000-0005-0000-0000-0000800D0000}"/>
    <cellStyle name="Currency 5 7 10" xfId="8895" xr:uid="{D73EC715-2AB6-4900-AF5B-DC752BCC95A7}"/>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61B3675B-8BD0-49CF-9033-A86F112E4043}"/>
    <cellStyle name="Currency 5 7 2 2 3" xfId="11454" xr:uid="{D59B74CA-487B-4548-88C2-0220AA866B47}"/>
    <cellStyle name="Currency 5 7 2 3" xfId="5077" xr:uid="{00000000-0005-0000-0000-0000840D0000}"/>
    <cellStyle name="Currency 5 7 2 3 2" xfId="13527" xr:uid="{2C3FC5B6-5285-4E24-BBC1-FFBA76B0206B}"/>
    <cellStyle name="Currency 5 7 2 4" xfId="9309" xr:uid="{C6C05848-8FF2-4E85-B6A8-B768B933A07B}"/>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47D96B2A-0C81-4904-B7CF-761BF67C3D33}"/>
    <cellStyle name="Currency 5 7 3 2 3" xfId="11867" xr:uid="{6410D655-DCAA-4F87-A965-3B55EFC4D2DB}"/>
    <cellStyle name="Currency 5 7 3 3" xfId="5490" xr:uid="{00000000-0005-0000-0000-0000880D0000}"/>
    <cellStyle name="Currency 5 7 3 3 2" xfId="13940" xr:uid="{EDEB8DFD-75B8-4213-9A7D-7DCD09FE742D}"/>
    <cellStyle name="Currency 5 7 3 4" xfId="9722" xr:uid="{B0D5ED7B-BD36-40D0-AFD6-D73B2BF7A3BF}"/>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1D99BC3C-8B86-4A96-A334-AB40A12064F5}"/>
    <cellStyle name="Currency 5 7 4 2 3" xfId="12280" xr:uid="{60386780-C5D1-475C-AA08-3652E7835209}"/>
    <cellStyle name="Currency 5 7 4 3" xfId="5903" xr:uid="{00000000-0005-0000-0000-00008C0D0000}"/>
    <cellStyle name="Currency 5 7 4 3 2" xfId="14353" xr:uid="{B1E1038F-6CFA-475A-B4EF-16E6E879713D}"/>
    <cellStyle name="Currency 5 7 4 4" xfId="10135" xr:uid="{C86AB5BE-DF5C-4B93-BB12-C728754804AD}"/>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BF2C2252-E470-4D62-B6A4-170287E28807}"/>
    <cellStyle name="Currency 5 7 5 2 3" xfId="12693" xr:uid="{C03DB475-3B3B-4250-BD32-81B63374C4A2}"/>
    <cellStyle name="Currency 5 7 5 3" xfId="6316" xr:uid="{00000000-0005-0000-0000-0000900D0000}"/>
    <cellStyle name="Currency 5 7 5 3 2" xfId="14766" xr:uid="{EA103B37-4824-4E28-B2CB-462DC229C583}"/>
    <cellStyle name="Currency 5 7 5 4" xfId="10548" xr:uid="{57761C6B-2685-4B37-A88F-5826F3A97214}"/>
    <cellStyle name="Currency 5 7 6" xfId="2445" xr:uid="{00000000-0005-0000-0000-0000910D0000}"/>
    <cellStyle name="Currency 5 7 6 2" xfId="6729" xr:uid="{00000000-0005-0000-0000-0000920D0000}"/>
    <cellStyle name="Currency 5 7 6 2 2" xfId="15179" xr:uid="{102CB1C7-72EE-4862-AAF9-C09594AF9718}"/>
    <cellStyle name="Currency 5 7 6 3" xfId="10961" xr:uid="{BD0AE896-CFD0-4A65-827E-EC61F81EC739}"/>
    <cellStyle name="Currency 5 7 7" xfId="2742" xr:uid="{00000000-0005-0000-0000-0000930D0000}"/>
    <cellStyle name="Currency 5 7 8" xfId="2823" xr:uid="{00000000-0005-0000-0000-0000940D0000}"/>
    <cellStyle name="Currency 5 7 8 2" xfId="7046" xr:uid="{00000000-0005-0000-0000-0000950D0000}"/>
    <cellStyle name="Currency 5 7 8 2 2" xfId="15496" xr:uid="{A1CAFDD7-D43A-49DD-8C7F-8A3A3DBB551C}"/>
    <cellStyle name="Currency 5 7 8 3" xfId="11278" xr:uid="{99CD1A67-A7C6-4A41-B2FD-6FFB649182F2}"/>
    <cellStyle name="Currency 5 7 9" xfId="4663" xr:uid="{00000000-0005-0000-0000-0000960D0000}"/>
    <cellStyle name="Currency 5 7 9 2" xfId="13113" xr:uid="{15FEE21E-CD0E-415E-8142-0FB441D6364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CE1FED34-6758-42A7-AE04-49E35040D654}"/>
    <cellStyle name="Normal 12 10 3" xfId="10962" xr:uid="{5655A0E2-CE9B-423F-ABCC-4CC1620C3B70}"/>
    <cellStyle name="Normal 12 11" xfId="4664" xr:uid="{00000000-0005-0000-0000-0000CC0D0000}"/>
    <cellStyle name="Normal 12 11 2" xfId="13114" xr:uid="{CB2E7704-D3BA-4EBE-95BB-6783B569D6F0}"/>
    <cellStyle name="Normal 12 12" xfId="8896" xr:uid="{22708231-1F30-40EC-9A09-0209154C68CF}"/>
    <cellStyle name="Normal 12 2" xfId="260" xr:uid="{00000000-0005-0000-0000-0000CD0D0000}"/>
    <cellStyle name="Normal 12 2 10" xfId="8897" xr:uid="{B5786E60-ECD1-41CE-B599-6669D2A55036}"/>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553F6106-9E3E-49C7-A73C-7BEA0FB79BF6}"/>
    <cellStyle name="Normal 12 2 2 2 2 2 3" xfId="11458" xr:uid="{27A7FE97-4F5D-4B6E-91BB-1FAA3445143A}"/>
    <cellStyle name="Normal 12 2 2 2 2 3" xfId="5081" xr:uid="{00000000-0005-0000-0000-0000D30D0000}"/>
    <cellStyle name="Normal 12 2 2 2 2 3 2" xfId="13531" xr:uid="{7AE9234B-1567-4A44-98C6-8F058E8A28E9}"/>
    <cellStyle name="Normal 12 2 2 2 2 4" xfId="9313" xr:uid="{D87DD7C5-4211-4455-A51B-25648A2DAB9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63E0B3F5-289F-4B9C-95E9-D814E3EDED6B}"/>
    <cellStyle name="Normal 12 2 2 2 3 2 3" xfId="11871" xr:uid="{69FB1922-5567-4BA2-8204-70879AE8134B}"/>
    <cellStyle name="Normal 12 2 2 2 3 3" xfId="5494" xr:uid="{00000000-0005-0000-0000-0000D70D0000}"/>
    <cellStyle name="Normal 12 2 2 2 3 3 2" xfId="13944" xr:uid="{C87BAB3A-9F37-4E04-93B8-7BC318BFCD3F}"/>
    <cellStyle name="Normal 12 2 2 2 3 4" xfId="9726" xr:uid="{515A1F32-FB37-42A7-B199-850A8E75F01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14CF33AA-94F9-44B0-8049-953D7771A08E}"/>
    <cellStyle name="Normal 12 2 2 2 4 2 3" xfId="12284" xr:uid="{9B6BB8EA-167E-499F-92DB-96ED28A1BB43}"/>
    <cellStyle name="Normal 12 2 2 2 4 3" xfId="5907" xr:uid="{00000000-0005-0000-0000-0000DB0D0000}"/>
    <cellStyle name="Normal 12 2 2 2 4 3 2" xfId="14357" xr:uid="{376D22DC-20B2-43BE-AD5C-67662532CB56}"/>
    <cellStyle name="Normal 12 2 2 2 4 4" xfId="10139" xr:uid="{1A601F49-048F-4A04-A60A-161590991A7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6ECB154A-C61F-4FB8-B8A4-C8C5D5D798C1}"/>
    <cellStyle name="Normal 12 2 2 2 5 2 3" xfId="12697" xr:uid="{BD6B7EA9-146D-4F88-B69F-9694EFDA7ABE}"/>
    <cellStyle name="Normal 12 2 2 2 5 3" xfId="6320" xr:uid="{00000000-0005-0000-0000-0000DF0D0000}"/>
    <cellStyle name="Normal 12 2 2 2 5 3 2" xfId="14770" xr:uid="{A8CC6E5B-F282-4F57-8C7F-987D2C427335}"/>
    <cellStyle name="Normal 12 2 2 2 5 4" xfId="10552" xr:uid="{A5A00297-9F2F-40CC-808F-BB022A1D29AC}"/>
    <cellStyle name="Normal 12 2 2 2 6" xfId="2450" xr:uid="{00000000-0005-0000-0000-0000E00D0000}"/>
    <cellStyle name="Normal 12 2 2 2 6 2" xfId="6733" xr:uid="{00000000-0005-0000-0000-0000E10D0000}"/>
    <cellStyle name="Normal 12 2 2 2 6 2 2" xfId="15183" xr:uid="{359C869C-0BB5-4201-9CEC-D051C5FC1B1D}"/>
    <cellStyle name="Normal 12 2 2 2 6 3" xfId="10965" xr:uid="{D8CCE122-65BB-402D-8454-8CC588A6E604}"/>
    <cellStyle name="Normal 12 2 2 2 7" xfId="4667" xr:uid="{00000000-0005-0000-0000-0000E20D0000}"/>
    <cellStyle name="Normal 12 2 2 2 7 2" xfId="13117" xr:uid="{1E78FE4C-A917-412F-B804-CFF54AF8A785}"/>
    <cellStyle name="Normal 12 2 2 2 8" xfId="8899" xr:uid="{8252EF53-468D-4AE1-9E25-A3438A696A32}"/>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28B1EDA3-470F-47A1-8129-D22566D2B823}"/>
    <cellStyle name="Normal 12 2 2 3 2 3" xfId="11457" xr:uid="{3BBF7F67-0D95-4247-A587-8C6A03D2D135}"/>
    <cellStyle name="Normal 12 2 2 3 3" xfId="5080" xr:uid="{00000000-0005-0000-0000-0000E60D0000}"/>
    <cellStyle name="Normal 12 2 2 3 3 2" xfId="13530" xr:uid="{E3A94C2E-6CBE-4DEB-94FA-7AE8FA912589}"/>
    <cellStyle name="Normal 12 2 2 3 4" xfId="9312" xr:uid="{F05E55FE-40F5-453C-940E-ECCF406A3DB3}"/>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42AB38B3-FE2D-40F2-8663-2C301E4B9B39}"/>
    <cellStyle name="Normal 12 2 2 4 2 3" xfId="11870" xr:uid="{E8E2FB70-7FE4-4D23-A580-A134F7345C72}"/>
    <cellStyle name="Normal 12 2 2 4 3" xfId="5493" xr:uid="{00000000-0005-0000-0000-0000EA0D0000}"/>
    <cellStyle name="Normal 12 2 2 4 3 2" xfId="13943" xr:uid="{E7167FA0-627B-4397-B16F-E93B98A72869}"/>
    <cellStyle name="Normal 12 2 2 4 4" xfId="9725" xr:uid="{C92E813D-087D-41D5-9CEF-773ED8FC5010}"/>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BDAAE004-C7B0-4C1E-A67B-12FF00D509C1}"/>
    <cellStyle name="Normal 12 2 2 5 2 3" xfId="12283" xr:uid="{FF6A5176-0909-4356-A6B5-8F7ECAA102D4}"/>
    <cellStyle name="Normal 12 2 2 5 3" xfId="5906" xr:uid="{00000000-0005-0000-0000-0000EE0D0000}"/>
    <cellStyle name="Normal 12 2 2 5 3 2" xfId="14356" xr:uid="{6CD21515-2523-4BB0-B5EA-4B265107AE46}"/>
    <cellStyle name="Normal 12 2 2 5 4" xfId="10138" xr:uid="{F20CECF2-7E1D-4635-A3F8-526F377E1A97}"/>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8FB0CA2A-BBEE-4167-8EFB-687FA01C13CB}"/>
    <cellStyle name="Normal 12 2 2 6 2 3" xfId="12696" xr:uid="{3C06AE79-C2E1-48A6-A7B0-57D39686547F}"/>
    <cellStyle name="Normal 12 2 2 6 3" xfId="6319" xr:uid="{00000000-0005-0000-0000-0000F20D0000}"/>
    <cellStyle name="Normal 12 2 2 6 3 2" xfId="14769" xr:uid="{6222B19E-7E9D-47D8-8EE5-5AD423205A01}"/>
    <cellStyle name="Normal 12 2 2 6 4" xfId="10551" xr:uid="{15715BDB-8762-4CB8-8F9A-2DDCDFE786A6}"/>
    <cellStyle name="Normal 12 2 2 7" xfId="2449" xr:uid="{00000000-0005-0000-0000-0000F30D0000}"/>
    <cellStyle name="Normal 12 2 2 7 2" xfId="6732" xr:uid="{00000000-0005-0000-0000-0000F40D0000}"/>
    <cellStyle name="Normal 12 2 2 7 2 2" xfId="15182" xr:uid="{12527715-2A82-44C2-B752-D69D55051039}"/>
    <cellStyle name="Normal 12 2 2 7 3" xfId="10964" xr:uid="{5CAF28ED-63C7-47E9-B229-9C8FFCB76595}"/>
    <cellStyle name="Normal 12 2 2 8" xfId="4666" xr:uid="{00000000-0005-0000-0000-0000F50D0000}"/>
    <cellStyle name="Normal 12 2 2 8 2" xfId="13116" xr:uid="{975ACAAE-3AB1-4CB2-BDB7-6777AE305471}"/>
    <cellStyle name="Normal 12 2 2 9" xfId="8898" xr:uid="{C2ABF6B7-6402-494D-9347-2635C6016C1D}"/>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3C75D30E-78E3-4080-A0DB-6DB4AE29D261}"/>
    <cellStyle name="Normal 12 2 3 2 2 3" xfId="11459" xr:uid="{9ED7AC58-13EC-4A7D-8F94-125F21304F06}"/>
    <cellStyle name="Normal 12 2 3 2 3" xfId="5082" xr:uid="{00000000-0005-0000-0000-0000FA0D0000}"/>
    <cellStyle name="Normal 12 2 3 2 3 2" xfId="13532" xr:uid="{6D9C2699-0059-4998-8064-AE50E6AFFFE0}"/>
    <cellStyle name="Normal 12 2 3 2 4" xfId="9314" xr:uid="{430BE891-61DC-45F9-9F59-7FF4D39E8A7B}"/>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D79A705A-592A-4457-BF6A-22DF19BBDDE0}"/>
    <cellStyle name="Normal 12 2 3 3 2 3" xfId="11872" xr:uid="{C9D8D38C-6978-4A72-AA3F-1FBBD27F8BFD}"/>
    <cellStyle name="Normal 12 2 3 3 3" xfId="5495" xr:uid="{00000000-0005-0000-0000-0000FE0D0000}"/>
    <cellStyle name="Normal 12 2 3 3 3 2" xfId="13945" xr:uid="{A5CE2E8A-5C19-4536-A06C-B9F367175C9E}"/>
    <cellStyle name="Normal 12 2 3 3 4" xfId="9727" xr:uid="{99E34832-5B7A-4B36-8838-175234BAEDCA}"/>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1FE2638E-AB43-4848-B8D3-C6E2A8198166}"/>
    <cellStyle name="Normal 12 2 3 4 2 3" xfId="12285" xr:uid="{DC866FF2-D640-4121-AAF3-3870728A3D8E}"/>
    <cellStyle name="Normal 12 2 3 4 3" xfId="5908" xr:uid="{00000000-0005-0000-0000-0000020E0000}"/>
    <cellStyle name="Normal 12 2 3 4 3 2" xfId="14358" xr:uid="{B82777C8-BDD2-4A42-BD01-C7BEFB549339}"/>
    <cellStyle name="Normal 12 2 3 4 4" xfId="10140" xr:uid="{8110DC1C-BEC0-46FB-AFB4-6920560CB626}"/>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4E09D8B2-3B3E-449F-B233-069BFEB0EB73}"/>
    <cellStyle name="Normal 12 2 3 5 2 3" xfId="12698" xr:uid="{4F677532-E665-4704-99D3-79193864D1CB}"/>
    <cellStyle name="Normal 12 2 3 5 3" xfId="6321" xr:uid="{00000000-0005-0000-0000-0000060E0000}"/>
    <cellStyle name="Normal 12 2 3 5 3 2" xfId="14771" xr:uid="{0E5339EB-59AE-491D-AB7D-DFD4607B92A1}"/>
    <cellStyle name="Normal 12 2 3 5 4" xfId="10553" xr:uid="{3CFF2808-CC3F-46F1-981D-3FF8786C101D}"/>
    <cellStyle name="Normal 12 2 3 6" xfId="2451" xr:uid="{00000000-0005-0000-0000-0000070E0000}"/>
    <cellStyle name="Normal 12 2 3 6 2" xfId="6734" xr:uid="{00000000-0005-0000-0000-0000080E0000}"/>
    <cellStyle name="Normal 12 2 3 6 2 2" xfId="15184" xr:uid="{7A2E37F4-3827-4F46-BDC2-010403B06EDC}"/>
    <cellStyle name="Normal 12 2 3 6 3" xfId="10966" xr:uid="{D0B6F5D6-F9BB-4819-B286-AB64AE7771BB}"/>
    <cellStyle name="Normal 12 2 3 7" xfId="4668" xr:uid="{00000000-0005-0000-0000-0000090E0000}"/>
    <cellStyle name="Normal 12 2 3 7 2" xfId="13118" xr:uid="{E77C62DD-3A3D-403F-B9DD-6661025B002B}"/>
    <cellStyle name="Normal 12 2 3 8" xfId="8900" xr:uid="{D37A40B5-09CA-4F60-96B3-7E880413BFFE}"/>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EFA63260-3216-4C8C-9786-FAF83C3E9060}"/>
    <cellStyle name="Normal 12 2 4 2 3" xfId="11456" xr:uid="{5A8B7D07-23DC-41D7-9EF2-68BB10C8CE62}"/>
    <cellStyle name="Normal 12 2 4 3" xfId="5079" xr:uid="{00000000-0005-0000-0000-00000D0E0000}"/>
    <cellStyle name="Normal 12 2 4 3 2" xfId="13529" xr:uid="{B14A9878-97FB-457A-A211-ED32EE57072E}"/>
    <cellStyle name="Normal 12 2 4 4" xfId="9311" xr:uid="{825AC5B6-3EE2-4914-8B93-8B737F022571}"/>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5C193897-929E-4561-84D1-318992144888}"/>
    <cellStyle name="Normal 12 2 5 2 3" xfId="11869" xr:uid="{2B2E8321-4C00-49E3-9B2B-9415A53B47B4}"/>
    <cellStyle name="Normal 12 2 5 3" xfId="5492" xr:uid="{00000000-0005-0000-0000-0000110E0000}"/>
    <cellStyle name="Normal 12 2 5 3 2" xfId="13942" xr:uid="{D45FECE6-A1B0-4605-9633-1CFDB4CF9835}"/>
    <cellStyle name="Normal 12 2 5 4" xfId="9724" xr:uid="{EB008BE5-932D-47E3-A3AD-C7A3F4B30DE4}"/>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5D1FBE14-D0B9-46B0-A264-9D938BE833A7}"/>
    <cellStyle name="Normal 12 2 6 2 3" xfId="12282" xr:uid="{BC9A9AE9-0713-427A-B471-61454818FC2D}"/>
    <cellStyle name="Normal 12 2 6 3" xfId="5905" xr:uid="{00000000-0005-0000-0000-0000150E0000}"/>
    <cellStyle name="Normal 12 2 6 3 2" xfId="14355" xr:uid="{F3E4E495-0507-4C6E-95EB-53299DCFF3B8}"/>
    <cellStyle name="Normal 12 2 6 4" xfId="10137" xr:uid="{B2A77FD8-FE00-4E58-BD01-75FA05AFE7ED}"/>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3B2C5CC1-D84C-412A-9BCB-1F83472ED18D}"/>
    <cellStyle name="Normal 12 2 7 2 3" xfId="12695" xr:uid="{845DDE4E-C520-483A-A247-823E8680E9D5}"/>
    <cellStyle name="Normal 12 2 7 3" xfId="6318" xr:uid="{00000000-0005-0000-0000-0000190E0000}"/>
    <cellStyle name="Normal 12 2 7 3 2" xfId="14768" xr:uid="{B4242AA6-DC51-4358-8F54-B014DACD4763}"/>
    <cellStyle name="Normal 12 2 7 4" xfId="10550" xr:uid="{A4CDEA50-3F4E-4553-9EF8-671308BA297B}"/>
    <cellStyle name="Normal 12 2 8" xfId="2448" xr:uid="{00000000-0005-0000-0000-00001A0E0000}"/>
    <cellStyle name="Normal 12 2 8 2" xfId="6731" xr:uid="{00000000-0005-0000-0000-00001B0E0000}"/>
    <cellStyle name="Normal 12 2 8 2 2" xfId="15181" xr:uid="{742FC828-61DF-4A26-8E9A-40301004F847}"/>
    <cellStyle name="Normal 12 2 8 3" xfId="10963" xr:uid="{804D211E-2A66-45A3-806B-B46CE88BB808}"/>
    <cellStyle name="Normal 12 2 9" xfId="4665" xr:uid="{00000000-0005-0000-0000-00001C0E0000}"/>
    <cellStyle name="Normal 12 2 9 2" xfId="13115" xr:uid="{D1D1D896-2626-46EC-B02A-52E8E9B6B4A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0D0BDBDE-335A-4351-AF17-9FB9532290D6}"/>
    <cellStyle name="Normal 12 3 2 2 2 3" xfId="11461" xr:uid="{A73C62E2-AAE6-4208-AC01-BF4B9020D371}"/>
    <cellStyle name="Normal 12 3 2 2 3" xfId="5084" xr:uid="{00000000-0005-0000-0000-0000220E0000}"/>
    <cellStyle name="Normal 12 3 2 2 3 2" xfId="13534" xr:uid="{42DB695D-457F-4475-B236-213EA6BE8E61}"/>
    <cellStyle name="Normal 12 3 2 2 4" xfId="9316" xr:uid="{E44049AF-A88C-4CC9-A8C9-0ED2EA4D408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80C65456-0953-4A35-A00A-05B37F7AE801}"/>
    <cellStyle name="Normal 12 3 2 3 2 3" xfId="11874" xr:uid="{69C21AB7-C2D3-4548-9DFE-C4EFAA1A57EA}"/>
    <cellStyle name="Normal 12 3 2 3 3" xfId="5497" xr:uid="{00000000-0005-0000-0000-0000260E0000}"/>
    <cellStyle name="Normal 12 3 2 3 3 2" xfId="13947" xr:uid="{E1A40864-3FE6-44AB-ACC6-6AD3F5233151}"/>
    <cellStyle name="Normal 12 3 2 3 4" xfId="9729" xr:uid="{76ECA282-55D1-4DA3-8261-18284395244B}"/>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14F90D6-B820-4E2C-8E2C-B38825502225}"/>
    <cellStyle name="Normal 12 3 2 4 2 3" xfId="12287" xr:uid="{AA72D9D8-97EA-48B0-B9EE-09294AE6B244}"/>
    <cellStyle name="Normal 12 3 2 4 3" xfId="5910" xr:uid="{00000000-0005-0000-0000-00002A0E0000}"/>
    <cellStyle name="Normal 12 3 2 4 3 2" xfId="14360" xr:uid="{92199350-0B19-4AC4-93B5-A7D6571FD94F}"/>
    <cellStyle name="Normal 12 3 2 4 4" xfId="10142" xr:uid="{CEF93324-36E6-4FD5-8C6A-38EB18B133F7}"/>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D414E30D-9C14-4DAE-8394-B281C1E7C7AE}"/>
    <cellStyle name="Normal 12 3 2 5 2 3" xfId="12700" xr:uid="{9B654103-2AC3-4F43-93E9-4D8C418E23B7}"/>
    <cellStyle name="Normal 12 3 2 5 3" xfId="6323" xr:uid="{00000000-0005-0000-0000-00002E0E0000}"/>
    <cellStyle name="Normal 12 3 2 5 3 2" xfId="14773" xr:uid="{A3BA7788-67FA-4F57-98F6-3388C4E59FC9}"/>
    <cellStyle name="Normal 12 3 2 5 4" xfId="10555" xr:uid="{D12B6C03-48E3-4E06-9556-65AE01755F71}"/>
    <cellStyle name="Normal 12 3 2 6" xfId="2453" xr:uid="{00000000-0005-0000-0000-00002F0E0000}"/>
    <cellStyle name="Normal 12 3 2 6 2" xfId="6736" xr:uid="{00000000-0005-0000-0000-0000300E0000}"/>
    <cellStyle name="Normal 12 3 2 6 2 2" xfId="15186" xr:uid="{AE3F8D5B-8B8A-43BA-BA43-2A635EFA58D6}"/>
    <cellStyle name="Normal 12 3 2 6 3" xfId="10968" xr:uid="{0136C88C-4202-4CF4-B6ED-5066EA2B8276}"/>
    <cellStyle name="Normal 12 3 2 7" xfId="4670" xr:uid="{00000000-0005-0000-0000-0000310E0000}"/>
    <cellStyle name="Normal 12 3 2 7 2" xfId="13120" xr:uid="{9529D502-AF2A-4A3D-85A3-7C0F4599D3C3}"/>
    <cellStyle name="Normal 12 3 2 8" xfId="8902" xr:uid="{D1CD11D4-DB92-4816-AA0F-E3FAA5F097BB}"/>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5B02FE06-F71A-4FBE-B220-C7C1CBADC69F}"/>
    <cellStyle name="Normal 12 3 3 2 3" xfId="11460" xr:uid="{5DB94B31-B856-4CC5-9CF1-C5121067F53E}"/>
    <cellStyle name="Normal 12 3 3 3" xfId="5083" xr:uid="{00000000-0005-0000-0000-0000350E0000}"/>
    <cellStyle name="Normal 12 3 3 3 2" xfId="13533" xr:uid="{C8116490-2BCB-4B51-B4F2-DB4237ACD674}"/>
    <cellStyle name="Normal 12 3 3 4" xfId="9315" xr:uid="{477BA6CC-B548-4E66-8E47-8D264B226187}"/>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F812E940-511D-4472-81D8-4586DC112E6A}"/>
    <cellStyle name="Normal 12 3 4 2 3" xfId="11873" xr:uid="{225286A3-5667-4858-810F-6B70EC4736E6}"/>
    <cellStyle name="Normal 12 3 4 3" xfId="5496" xr:uid="{00000000-0005-0000-0000-0000390E0000}"/>
    <cellStyle name="Normal 12 3 4 3 2" xfId="13946" xr:uid="{8D78343B-993B-4BCD-B048-0707FC08E98F}"/>
    <cellStyle name="Normal 12 3 4 4" xfId="9728" xr:uid="{3BCE2170-3160-430F-A2C3-784AF62603E7}"/>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76BCA471-4AF0-4916-A665-C870FAB54EC5}"/>
    <cellStyle name="Normal 12 3 5 2 3" xfId="12286" xr:uid="{60FD92B9-A728-4A2F-883D-86DE7ACDD88C}"/>
    <cellStyle name="Normal 12 3 5 3" xfId="5909" xr:uid="{00000000-0005-0000-0000-00003D0E0000}"/>
    <cellStyle name="Normal 12 3 5 3 2" xfId="14359" xr:uid="{DAF07617-F4D5-4A7A-8474-5F1E6B6B7C8B}"/>
    <cellStyle name="Normal 12 3 5 4" xfId="10141" xr:uid="{F826534E-2198-4E5B-94C7-1C68AE9689FC}"/>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A3A55135-D1B1-4EE5-B250-3748648F6FDC}"/>
    <cellStyle name="Normal 12 3 6 2 3" xfId="12699" xr:uid="{423F41A4-9591-467C-AD05-CAE6C5667CCC}"/>
    <cellStyle name="Normal 12 3 6 3" xfId="6322" xr:uid="{00000000-0005-0000-0000-0000410E0000}"/>
    <cellStyle name="Normal 12 3 6 3 2" xfId="14772" xr:uid="{AA428946-73D4-4899-9535-F26D2AA63CD4}"/>
    <cellStyle name="Normal 12 3 6 4" xfId="10554" xr:uid="{1B2CDA83-F362-46EC-BB0D-9F147F4CC777}"/>
    <cellStyle name="Normal 12 3 7" xfId="2452" xr:uid="{00000000-0005-0000-0000-0000420E0000}"/>
    <cellStyle name="Normal 12 3 7 2" xfId="6735" xr:uid="{00000000-0005-0000-0000-0000430E0000}"/>
    <cellStyle name="Normal 12 3 7 2 2" xfId="15185" xr:uid="{3B29DC20-270A-4220-96BF-B0AB46D1C444}"/>
    <cellStyle name="Normal 12 3 7 3" xfId="10967" xr:uid="{84BA5FCF-4B79-4E14-BB33-0B0DE53DE96F}"/>
    <cellStyle name="Normal 12 3 8" xfId="4669" xr:uid="{00000000-0005-0000-0000-0000440E0000}"/>
    <cellStyle name="Normal 12 3 8 2" xfId="13119" xr:uid="{7AAB3C7B-1D17-4005-970A-26CA6F9BE28B}"/>
    <cellStyle name="Normal 12 3 9" xfId="8901" xr:uid="{BA4D94CC-42E6-4C79-A83D-3AA25594ABAD}"/>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7FDEC963-D4BD-47CF-94CA-89C24F41E982}"/>
    <cellStyle name="Normal 12 4 2 2 3" xfId="11462" xr:uid="{E067A715-E03B-4FC5-95A2-0D783C71A629}"/>
    <cellStyle name="Normal 12 4 2 3" xfId="5085" xr:uid="{00000000-0005-0000-0000-0000490E0000}"/>
    <cellStyle name="Normal 12 4 2 3 2" xfId="13535" xr:uid="{DE3815A4-286A-4C4F-BBD4-04CB08A6758A}"/>
    <cellStyle name="Normal 12 4 2 4" xfId="9317" xr:uid="{ED64295C-1D40-403B-A27C-FB29EB07C322}"/>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369B2F1E-0F4D-4F36-8F0C-EAB69D4D03FD}"/>
    <cellStyle name="Normal 12 4 3 2 3" xfId="11875" xr:uid="{C2419A8B-B4DD-434F-834D-AE82444B0871}"/>
    <cellStyle name="Normal 12 4 3 3" xfId="5498" xr:uid="{00000000-0005-0000-0000-00004D0E0000}"/>
    <cellStyle name="Normal 12 4 3 3 2" xfId="13948" xr:uid="{020DD8C5-B058-423F-AF5D-EDDB176947CD}"/>
    <cellStyle name="Normal 12 4 3 4" xfId="9730" xr:uid="{34666E19-3620-4B0E-A39A-29BE1D782FF0}"/>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B0E037DD-2249-4295-979D-AD3C08B2F5BC}"/>
    <cellStyle name="Normal 12 4 4 2 3" xfId="12288" xr:uid="{5A671417-5CEE-4518-A823-9DBFAF841138}"/>
    <cellStyle name="Normal 12 4 4 3" xfId="5911" xr:uid="{00000000-0005-0000-0000-0000510E0000}"/>
    <cellStyle name="Normal 12 4 4 3 2" xfId="14361" xr:uid="{1CDCC724-B703-42AC-B3BC-D3AC2146FDF2}"/>
    <cellStyle name="Normal 12 4 4 4" xfId="10143" xr:uid="{B368E48D-8599-407D-820A-B8D39344C957}"/>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F46DF38D-45FC-459B-8E33-6D9764259C7B}"/>
    <cellStyle name="Normal 12 4 5 2 3" xfId="12701" xr:uid="{F44D05FE-A59D-4D09-874E-D7C66EC6AFB2}"/>
    <cellStyle name="Normal 12 4 5 3" xfId="6324" xr:uid="{00000000-0005-0000-0000-0000550E0000}"/>
    <cellStyle name="Normal 12 4 5 3 2" xfId="14774" xr:uid="{B93FE363-62C0-471A-B37B-842575C48FFC}"/>
    <cellStyle name="Normal 12 4 5 4" xfId="10556" xr:uid="{E2A00035-566F-4674-90C2-7E55D99976EE}"/>
    <cellStyle name="Normal 12 4 6" xfId="2454" xr:uid="{00000000-0005-0000-0000-0000560E0000}"/>
    <cellStyle name="Normal 12 4 6 2" xfId="6737" xr:uid="{00000000-0005-0000-0000-0000570E0000}"/>
    <cellStyle name="Normal 12 4 6 2 2" xfId="15187" xr:uid="{B640EEE3-3F27-4162-9860-A5E8E1A73806}"/>
    <cellStyle name="Normal 12 4 6 3" xfId="10969" xr:uid="{C7852ED8-2272-4DDB-8A03-6CCCB76EA363}"/>
    <cellStyle name="Normal 12 4 7" xfId="4671" xr:uid="{00000000-0005-0000-0000-0000580E0000}"/>
    <cellStyle name="Normal 12 4 7 2" xfId="13121" xr:uid="{E364795D-02FD-4D0A-A543-E832E0236E36}"/>
    <cellStyle name="Normal 12 4 8" xfId="8903" xr:uid="{6AD06EA4-F0F4-4A03-A64E-5DB39058A37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DC3B70CB-4927-4FB3-8C64-4A1386D86DC0}"/>
    <cellStyle name="Normal 12 6 2 3" xfId="11455" xr:uid="{C928FEC1-CFD8-4587-A567-BAFD11312824}"/>
    <cellStyle name="Normal 12 6 3" xfId="5078" xr:uid="{00000000-0005-0000-0000-00005D0E0000}"/>
    <cellStyle name="Normal 12 6 3 2" xfId="13528" xr:uid="{52613EBD-41E5-4CF8-AEC4-00A75DBEF8D4}"/>
    <cellStyle name="Normal 12 6 4" xfId="9310" xr:uid="{2510D990-FD87-48A2-98AB-6E8556A8E84E}"/>
    <cellStyle name="Normal 12 7" xfId="1183" xr:uid="{00000000-0005-0000-0000-00005E0E0000}"/>
    <cellStyle name="Normal 12 7 2" xfId="3414" xr:uid="{00000000-0005-0000-0000-00005F0E0000}"/>
    <cellStyle name="Normal 12 7 2 2" xfId="7636" xr:uid="{00000000-0005-0000-0000-0000600E0000}"/>
    <cellStyle name="Normal 12 7 2 2 2" xfId="16086" xr:uid="{06B076B1-B2E5-46A5-A99B-2D282828EBA0}"/>
    <cellStyle name="Normal 12 7 2 3" xfId="11868" xr:uid="{FF6EA599-AE12-4D1A-ACBD-0E4D15C5A01F}"/>
    <cellStyle name="Normal 12 7 3" xfId="5491" xr:uid="{00000000-0005-0000-0000-0000610E0000}"/>
    <cellStyle name="Normal 12 7 3 2" xfId="13941" xr:uid="{73C0B871-66E8-49B9-99F3-2EEEC86AB167}"/>
    <cellStyle name="Normal 12 7 4" xfId="9723" xr:uid="{8D4CA1CB-A238-4C05-B281-0BDE25A0709C}"/>
    <cellStyle name="Normal 12 8" xfId="1597" xr:uid="{00000000-0005-0000-0000-0000620E0000}"/>
    <cellStyle name="Normal 12 8 2" xfId="3827" xr:uid="{00000000-0005-0000-0000-0000630E0000}"/>
    <cellStyle name="Normal 12 8 2 2" xfId="8049" xr:uid="{00000000-0005-0000-0000-0000640E0000}"/>
    <cellStyle name="Normal 12 8 2 2 2" xfId="16499" xr:uid="{CAC6CDA7-D7EA-4580-8CCE-916831F16CB2}"/>
    <cellStyle name="Normal 12 8 2 3" xfId="12281" xr:uid="{41303063-2511-4031-B20C-D21AAF236E84}"/>
    <cellStyle name="Normal 12 8 3" xfId="5904" xr:uid="{00000000-0005-0000-0000-0000650E0000}"/>
    <cellStyle name="Normal 12 8 3 2" xfId="14354" xr:uid="{DF615D80-E3C3-48A5-9F0E-545B70FFD151}"/>
    <cellStyle name="Normal 12 8 4" xfId="10136" xr:uid="{AFF0DF37-DF1E-417F-B502-D26692080886}"/>
    <cellStyle name="Normal 12 9" xfId="2011" xr:uid="{00000000-0005-0000-0000-0000660E0000}"/>
    <cellStyle name="Normal 12 9 2" xfId="4240" xr:uid="{00000000-0005-0000-0000-0000670E0000}"/>
    <cellStyle name="Normal 12 9 2 2" xfId="8462" xr:uid="{00000000-0005-0000-0000-0000680E0000}"/>
    <cellStyle name="Normal 12 9 2 2 2" xfId="16912" xr:uid="{D491A6EB-1C58-4353-8DDC-E6EAD2D11B85}"/>
    <cellStyle name="Normal 12 9 2 3" xfId="12694" xr:uid="{2662FFDD-6342-486B-A200-23E9FB1BA5E8}"/>
    <cellStyle name="Normal 12 9 3" xfId="6317" xr:uid="{00000000-0005-0000-0000-0000690E0000}"/>
    <cellStyle name="Normal 12 9 3 2" xfId="14767" xr:uid="{B425B26D-C5A1-4BBB-A61A-59B1AC5EA218}"/>
    <cellStyle name="Normal 12 9 4" xfId="10549" xr:uid="{790406F5-CCE8-42BF-8C33-373B7EA11A4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EBAE8BAB-9FB6-4CCA-AE13-0788468967B6}"/>
    <cellStyle name="Normal 14 2 2 3" xfId="11463" xr:uid="{1587AFBC-F69E-4A33-B448-AFA9D4DCC164}"/>
    <cellStyle name="Normal 14 2 3" xfId="5086" xr:uid="{00000000-0005-0000-0000-0000700E0000}"/>
    <cellStyle name="Normal 14 2 3 2" xfId="13536" xr:uid="{455AAE9E-BC00-45E0-9132-99C3C1E8AC8E}"/>
    <cellStyle name="Normal 14 2 4" xfId="9318" xr:uid="{28B61A70-FA8A-4D70-8B1A-8164374CA4A5}"/>
    <cellStyle name="Normal 14 3" xfId="1191" xr:uid="{00000000-0005-0000-0000-0000710E0000}"/>
    <cellStyle name="Normal 14 3 2" xfId="3422" xr:uid="{00000000-0005-0000-0000-0000720E0000}"/>
    <cellStyle name="Normal 14 3 2 2" xfId="7644" xr:uid="{00000000-0005-0000-0000-0000730E0000}"/>
    <cellStyle name="Normal 14 3 2 2 2" xfId="16094" xr:uid="{CFA0E4CA-306A-4505-BAFB-E3ADC7983DD9}"/>
    <cellStyle name="Normal 14 3 2 3" xfId="11876" xr:uid="{AD2AEDFD-0A82-42DC-882A-ABEAA1CF2D35}"/>
    <cellStyle name="Normal 14 3 3" xfId="5499" xr:uid="{00000000-0005-0000-0000-0000740E0000}"/>
    <cellStyle name="Normal 14 3 3 2" xfId="13949" xr:uid="{52AE122C-1930-4E36-A5B4-DB1E1DACB650}"/>
    <cellStyle name="Normal 14 3 4" xfId="9731" xr:uid="{73F55D93-7F6D-46F1-B24F-E6959DBA1E1A}"/>
    <cellStyle name="Normal 14 4" xfId="1605" xr:uid="{00000000-0005-0000-0000-0000750E0000}"/>
    <cellStyle name="Normal 14 4 2" xfId="3835" xr:uid="{00000000-0005-0000-0000-0000760E0000}"/>
    <cellStyle name="Normal 14 4 2 2" xfId="8057" xr:uid="{00000000-0005-0000-0000-0000770E0000}"/>
    <cellStyle name="Normal 14 4 2 2 2" xfId="16507" xr:uid="{AAC5B6A2-8191-44CE-B280-6E5AB91B5464}"/>
    <cellStyle name="Normal 14 4 2 3" xfId="12289" xr:uid="{5740BC61-98F4-45EA-A630-4F584E0B6536}"/>
    <cellStyle name="Normal 14 4 3" xfId="5912" xr:uid="{00000000-0005-0000-0000-0000780E0000}"/>
    <cellStyle name="Normal 14 4 3 2" xfId="14362" xr:uid="{789587A1-F463-4C83-B840-69C94795048E}"/>
    <cellStyle name="Normal 14 4 4" xfId="10144" xr:uid="{2F324C3F-9FD3-4313-8650-3906E063B1BC}"/>
    <cellStyle name="Normal 14 5" xfId="2019" xr:uid="{00000000-0005-0000-0000-0000790E0000}"/>
    <cellStyle name="Normal 14 5 2" xfId="4248" xr:uid="{00000000-0005-0000-0000-00007A0E0000}"/>
    <cellStyle name="Normal 14 5 2 2" xfId="8470" xr:uid="{00000000-0005-0000-0000-00007B0E0000}"/>
    <cellStyle name="Normal 14 5 2 2 2" xfId="16920" xr:uid="{9393C6A3-80A9-428A-92CF-141805754F58}"/>
    <cellStyle name="Normal 14 5 2 3" xfId="12702" xr:uid="{8596EFCE-7D86-459F-A21C-806DB515C86D}"/>
    <cellStyle name="Normal 14 5 3" xfId="6325" xr:uid="{00000000-0005-0000-0000-00007C0E0000}"/>
    <cellStyle name="Normal 14 5 3 2" xfId="14775" xr:uid="{1D474F87-A3B4-4338-AD67-D26FD0450F59}"/>
    <cellStyle name="Normal 14 5 4" xfId="10557" xr:uid="{2A8DD9EC-C57D-4D02-B92C-0C37FA001368}"/>
    <cellStyle name="Normal 14 6" xfId="2455" xr:uid="{00000000-0005-0000-0000-00007D0E0000}"/>
    <cellStyle name="Normal 14 6 2" xfId="6738" xr:uid="{00000000-0005-0000-0000-00007E0E0000}"/>
    <cellStyle name="Normal 14 6 2 2" xfId="15188" xr:uid="{3BC8A817-44C7-4AEC-912E-E223C575FAD8}"/>
    <cellStyle name="Normal 14 6 3" xfId="10970" xr:uid="{706E8D64-FA69-4B9E-92CD-5BC1D6D9D2BD}"/>
    <cellStyle name="Normal 14 7" xfId="4672" xr:uid="{00000000-0005-0000-0000-00007F0E0000}"/>
    <cellStyle name="Normal 14 7 2" xfId="13122" xr:uid="{49B20942-2DC7-471B-99A7-87A3017907F1}"/>
    <cellStyle name="Normal 14 8" xfId="8904" xr:uid="{A2108BCD-DF95-4B6D-95D1-DB47385E4317}"/>
    <cellStyle name="Normal 15" xfId="4496" xr:uid="{00000000-0005-0000-0000-0000800E0000}"/>
    <cellStyle name="Normal 15 2" xfId="12948" xr:uid="{4C813085-E70A-4918-84C1-3380C90AEFC1}"/>
    <cellStyle name="Normal 16" xfId="4500" xr:uid="{00000000-0005-0000-0000-0000810E0000}"/>
    <cellStyle name="Normal 16 2" xfId="8715" xr:uid="{00000000-0005-0000-0000-0000820E0000}"/>
    <cellStyle name="Normal 16 2 2" xfId="17165" xr:uid="{4F90ACDF-C1B7-49DC-852D-2E86A65ED001}"/>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7F995001-570E-46DC-86CE-9E6AEA006D5B}"/>
    <cellStyle name="Normal 16 3 2 2 2 3" xfId="17178" xr:uid="{FE12958D-D2B1-4C2B-85E7-15F3DBC548AF}"/>
    <cellStyle name="Normal 16 3 2 2 3" xfId="17174" xr:uid="{1E488BDB-60B6-4AF2-B4DD-6AB5E600A4F8}"/>
    <cellStyle name="Normal 16 3 2 3" xfId="17171" xr:uid="{CCB4868C-0965-4E8F-A3C9-E36DE88A6B70}"/>
    <cellStyle name="Normal 16 3 3" xfId="17168" xr:uid="{3A6F06AE-46CB-4D83-B135-866EEB311C7C}"/>
    <cellStyle name="Normal 16 4" xfId="12951" xr:uid="{19481D33-762A-486B-8BBF-E696BA4C2DC3}"/>
    <cellStyle name="Normal 17" xfId="8728" xr:uid="{3FF0972C-833B-4475-99D8-1A6907499E71}"/>
    <cellStyle name="Normal 17 2" xfId="17177" xr:uid="{78200F25-8D90-48FF-A96D-73EF139F98B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3FD874EB-8B4E-4290-8837-27183292CEFB}"/>
    <cellStyle name="Normal 2 4 2 10 2 3" xfId="12703" xr:uid="{4E9464D5-C9FD-4A2C-8630-04E05FBECC0B}"/>
    <cellStyle name="Normal 2 4 2 10 3" xfId="6326" xr:uid="{00000000-0005-0000-0000-0000910E0000}"/>
    <cellStyle name="Normal 2 4 2 10 3 2" xfId="14776" xr:uid="{AB61B556-A75B-4080-8E98-545C8F396CC1}"/>
    <cellStyle name="Normal 2 4 2 10 4" xfId="10558" xr:uid="{0BF691BA-3C76-4738-BEFC-1CB6EA0B5B03}"/>
    <cellStyle name="Normal 2 4 2 11" xfId="2456" xr:uid="{00000000-0005-0000-0000-0000920E0000}"/>
    <cellStyle name="Normal 2 4 2 11 2" xfId="6739" xr:uid="{00000000-0005-0000-0000-0000930E0000}"/>
    <cellStyle name="Normal 2 4 2 11 2 2" xfId="15189" xr:uid="{8441C4BF-F365-4276-849A-AC26CEF17317}"/>
    <cellStyle name="Normal 2 4 2 11 3" xfId="10971" xr:uid="{78C6132E-6FA7-48FC-B471-4D1C45A3F585}"/>
    <cellStyle name="Normal 2 4 2 12" xfId="4673" xr:uid="{00000000-0005-0000-0000-0000940E0000}"/>
    <cellStyle name="Normal 2 4 2 12 2" xfId="13123" xr:uid="{C5BBFB60-2B69-4EE5-B5E2-6345C6037EE3}"/>
    <cellStyle name="Normal 2 4 2 13" xfId="8905" xr:uid="{E7466E63-E906-4D77-8496-EA37C438BD12}"/>
    <cellStyle name="Normal 2 4 2 2" xfId="280" xr:uid="{00000000-0005-0000-0000-0000950E0000}"/>
    <cellStyle name="Normal 2 4 2 3" xfId="281" xr:uid="{00000000-0005-0000-0000-0000960E0000}"/>
    <cellStyle name="Normal 2 4 2 3 10" xfId="4674" xr:uid="{00000000-0005-0000-0000-0000970E0000}"/>
    <cellStyle name="Normal 2 4 2 3 10 2" xfId="13124" xr:uid="{736E3211-1C2A-4250-A8DD-6FBE283D502F}"/>
    <cellStyle name="Normal 2 4 2 3 11" xfId="8906" xr:uid="{1D5CEAC4-462C-4C02-B6AB-000DCC18D82F}"/>
    <cellStyle name="Normal 2 4 2 3 2" xfId="282" xr:uid="{00000000-0005-0000-0000-0000980E0000}"/>
    <cellStyle name="Normal 2 4 2 3 2 10" xfId="8907" xr:uid="{DE15DAE7-087E-4E80-AF76-4251FCC41282}"/>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D643CF57-19E7-4015-8A7D-3FCBD0A3DD35}"/>
    <cellStyle name="Normal 2 4 2 3 2 2 2 2 2 3" xfId="11468" xr:uid="{59143A56-194A-4B13-AB81-267A11EF7368}"/>
    <cellStyle name="Normal 2 4 2 3 2 2 2 2 3" xfId="5091" xr:uid="{00000000-0005-0000-0000-00009E0E0000}"/>
    <cellStyle name="Normal 2 4 2 3 2 2 2 2 3 2" xfId="13541" xr:uid="{97C36656-594F-45DB-A2BB-1B7F559759F0}"/>
    <cellStyle name="Normal 2 4 2 3 2 2 2 2 4" xfId="9323" xr:uid="{C962CB8B-6258-4475-8A8D-C5EC1A37B097}"/>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E57B0D79-69E6-42FD-A7C0-E865987B001A}"/>
    <cellStyle name="Normal 2 4 2 3 2 2 2 3 2 3" xfId="11881" xr:uid="{96405959-C102-4618-9C8D-3A9DCF4075F7}"/>
    <cellStyle name="Normal 2 4 2 3 2 2 2 3 3" xfId="5504" xr:uid="{00000000-0005-0000-0000-0000A20E0000}"/>
    <cellStyle name="Normal 2 4 2 3 2 2 2 3 3 2" xfId="13954" xr:uid="{4C5B2CEE-12D9-4F84-86CA-A32FEA17DCBA}"/>
    <cellStyle name="Normal 2 4 2 3 2 2 2 3 4" xfId="9736" xr:uid="{54B0D850-C435-442B-8427-4E63256D0AA1}"/>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9F036E01-75CE-443E-8B97-37557DC53B61}"/>
    <cellStyle name="Normal 2 4 2 3 2 2 2 4 2 3" xfId="12294" xr:uid="{F92A7314-8358-4363-AD1B-426E0E22E1A5}"/>
    <cellStyle name="Normal 2 4 2 3 2 2 2 4 3" xfId="5917" xr:uid="{00000000-0005-0000-0000-0000A60E0000}"/>
    <cellStyle name="Normal 2 4 2 3 2 2 2 4 3 2" xfId="14367" xr:uid="{0A431B6E-7CE8-42B0-845E-048A7B3981EC}"/>
    <cellStyle name="Normal 2 4 2 3 2 2 2 4 4" xfId="10149" xr:uid="{495A2F95-B291-4782-A7D5-A7897D8DA5B9}"/>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45785FC1-18FB-4378-A287-D3A4CCDDD667}"/>
    <cellStyle name="Normal 2 4 2 3 2 2 2 5 2 3" xfId="12707" xr:uid="{0DB6A1B0-B6F2-4807-8F5A-B068D749DCE5}"/>
    <cellStyle name="Normal 2 4 2 3 2 2 2 5 3" xfId="6330" xr:uid="{00000000-0005-0000-0000-0000AA0E0000}"/>
    <cellStyle name="Normal 2 4 2 3 2 2 2 5 3 2" xfId="14780" xr:uid="{CE6CA1B1-1781-4A2F-B616-6BF8B896613D}"/>
    <cellStyle name="Normal 2 4 2 3 2 2 2 5 4" xfId="10562" xr:uid="{CAF50F9C-5201-4A7F-B0F2-7B4983244A27}"/>
    <cellStyle name="Normal 2 4 2 3 2 2 2 6" xfId="2460" xr:uid="{00000000-0005-0000-0000-0000AB0E0000}"/>
    <cellStyle name="Normal 2 4 2 3 2 2 2 6 2" xfId="6743" xr:uid="{00000000-0005-0000-0000-0000AC0E0000}"/>
    <cellStyle name="Normal 2 4 2 3 2 2 2 6 2 2" xfId="15193" xr:uid="{C476DC1F-BEFD-4824-B94E-A630635D82DF}"/>
    <cellStyle name="Normal 2 4 2 3 2 2 2 6 3" xfId="10975" xr:uid="{90846DC7-2A5F-4BD1-8007-C2D2E98FA36B}"/>
    <cellStyle name="Normal 2 4 2 3 2 2 2 7" xfId="4677" xr:uid="{00000000-0005-0000-0000-0000AD0E0000}"/>
    <cellStyle name="Normal 2 4 2 3 2 2 2 7 2" xfId="13127" xr:uid="{52EEF087-BF4D-478D-8A77-C62E48F21583}"/>
    <cellStyle name="Normal 2 4 2 3 2 2 2 8" xfId="8909" xr:uid="{A0CA33CC-7AC5-4F1B-A7F0-4212FD4EAA3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89CEAADE-FD65-40FE-A950-C2C60A8700E5}"/>
    <cellStyle name="Normal 2 4 2 3 2 2 3 2 3" xfId="11467" xr:uid="{BCFEC6E3-85BF-48AF-B334-CD5E40C9DC5D}"/>
    <cellStyle name="Normal 2 4 2 3 2 2 3 3" xfId="5090" xr:uid="{00000000-0005-0000-0000-0000B10E0000}"/>
    <cellStyle name="Normal 2 4 2 3 2 2 3 3 2" xfId="13540" xr:uid="{25334280-7D6E-4F88-9927-3D1BA2C4FAEE}"/>
    <cellStyle name="Normal 2 4 2 3 2 2 3 4" xfId="9322" xr:uid="{86F8B0AC-3B51-4965-91F6-5E67E819ADDB}"/>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2F0D2831-8006-45AC-84F7-7F3531D66E72}"/>
    <cellStyle name="Normal 2 4 2 3 2 2 4 2 3" xfId="11880" xr:uid="{E185B327-CBFE-45F6-B3A5-15B61ABC8E2F}"/>
    <cellStyle name="Normal 2 4 2 3 2 2 4 3" xfId="5503" xr:uid="{00000000-0005-0000-0000-0000B50E0000}"/>
    <cellStyle name="Normal 2 4 2 3 2 2 4 3 2" xfId="13953" xr:uid="{4ED0385D-F011-4DE7-A417-6B766BEDEF8E}"/>
    <cellStyle name="Normal 2 4 2 3 2 2 4 4" xfId="9735" xr:uid="{A46299A2-9A75-4BA8-8E4A-C89A9A77D52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BF9A8304-CA8A-4DA5-93DD-393A0DDAF7EF}"/>
    <cellStyle name="Normal 2 4 2 3 2 2 5 2 3" xfId="12293" xr:uid="{0FDFE71C-CF97-49A2-B3C0-899B903F591A}"/>
    <cellStyle name="Normal 2 4 2 3 2 2 5 3" xfId="5916" xr:uid="{00000000-0005-0000-0000-0000B90E0000}"/>
    <cellStyle name="Normal 2 4 2 3 2 2 5 3 2" xfId="14366" xr:uid="{E6404D47-2E2D-4C9F-91B6-D5EDC5BE769B}"/>
    <cellStyle name="Normal 2 4 2 3 2 2 5 4" xfId="10148" xr:uid="{58660EFF-B36D-404F-BF2B-68CBBA1064A8}"/>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3528B67A-C8BF-4042-8B55-C238F6A7235C}"/>
    <cellStyle name="Normal 2 4 2 3 2 2 6 2 3" xfId="12706" xr:uid="{D78171EA-AA12-4EF2-B74B-BA3BA059A2B4}"/>
    <cellStyle name="Normal 2 4 2 3 2 2 6 3" xfId="6329" xr:uid="{00000000-0005-0000-0000-0000BD0E0000}"/>
    <cellStyle name="Normal 2 4 2 3 2 2 6 3 2" xfId="14779" xr:uid="{CFFE633D-6734-4190-879D-B5E9D28E5682}"/>
    <cellStyle name="Normal 2 4 2 3 2 2 6 4" xfId="10561" xr:uid="{6649EF0F-D1A8-46BB-BACD-5FC81F8A2401}"/>
    <cellStyle name="Normal 2 4 2 3 2 2 7" xfId="2459" xr:uid="{00000000-0005-0000-0000-0000BE0E0000}"/>
    <cellStyle name="Normal 2 4 2 3 2 2 7 2" xfId="6742" xr:uid="{00000000-0005-0000-0000-0000BF0E0000}"/>
    <cellStyle name="Normal 2 4 2 3 2 2 7 2 2" xfId="15192" xr:uid="{3E65694A-509B-461E-951A-5E9FDBF3DA7B}"/>
    <cellStyle name="Normal 2 4 2 3 2 2 7 3" xfId="10974" xr:uid="{28CFB60D-7B0B-418D-B03D-AC7E8C3C59D4}"/>
    <cellStyle name="Normal 2 4 2 3 2 2 8" xfId="4676" xr:uid="{00000000-0005-0000-0000-0000C00E0000}"/>
    <cellStyle name="Normal 2 4 2 3 2 2 8 2" xfId="13126" xr:uid="{F3E0FEAC-EFA5-4D6C-A29D-AA9F22AED6E1}"/>
    <cellStyle name="Normal 2 4 2 3 2 2 9" xfId="8908" xr:uid="{D201D75B-C31C-42EC-B001-89AFC0F1DBC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47EA9EF5-F750-4F52-A1A5-AFFA4B7B2A51}"/>
    <cellStyle name="Normal 2 4 2 3 2 3 2 2 3" xfId="11469" xr:uid="{D7C44C97-CCA0-4EA1-A0EA-B6BD2F6E8340}"/>
    <cellStyle name="Normal 2 4 2 3 2 3 2 3" xfId="5092" xr:uid="{00000000-0005-0000-0000-0000C50E0000}"/>
    <cellStyle name="Normal 2 4 2 3 2 3 2 3 2" xfId="13542" xr:uid="{923DA3B0-36F2-49A8-918F-D480184AB4D1}"/>
    <cellStyle name="Normal 2 4 2 3 2 3 2 4" xfId="9324" xr:uid="{A0AC0B1E-0A33-4F49-8C6B-FD77976E1D1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A6FBD0A1-3620-44B1-BC3F-7A50E4EF2542}"/>
    <cellStyle name="Normal 2 4 2 3 2 3 3 2 3" xfId="11882" xr:uid="{E0DC539C-5D07-4A62-B3B2-05DAE433C036}"/>
    <cellStyle name="Normal 2 4 2 3 2 3 3 3" xfId="5505" xr:uid="{00000000-0005-0000-0000-0000C90E0000}"/>
    <cellStyle name="Normal 2 4 2 3 2 3 3 3 2" xfId="13955" xr:uid="{35480A70-2821-4820-BD92-02075C890958}"/>
    <cellStyle name="Normal 2 4 2 3 2 3 3 4" xfId="9737" xr:uid="{EB19105C-F9F2-4153-9492-53974D5D0267}"/>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A577BC42-40A4-4CFD-BA60-2D3BE56F968B}"/>
    <cellStyle name="Normal 2 4 2 3 2 3 4 2 3" xfId="12295" xr:uid="{26FB5DDC-8504-4742-B056-75C8B3FECD84}"/>
    <cellStyle name="Normal 2 4 2 3 2 3 4 3" xfId="5918" xr:uid="{00000000-0005-0000-0000-0000CD0E0000}"/>
    <cellStyle name="Normal 2 4 2 3 2 3 4 3 2" xfId="14368" xr:uid="{835B22F1-E2CD-4C9A-9F9D-42E3E03E3695}"/>
    <cellStyle name="Normal 2 4 2 3 2 3 4 4" xfId="10150" xr:uid="{81AB28E1-C4AE-4A75-9909-9C6FECD28426}"/>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E9B345B8-434F-412E-96BA-2D6057684361}"/>
    <cellStyle name="Normal 2 4 2 3 2 3 5 2 3" xfId="12708" xr:uid="{BE3CFFA3-F43A-4CEA-A9AF-DF9EA4B0B653}"/>
    <cellStyle name="Normal 2 4 2 3 2 3 5 3" xfId="6331" xr:uid="{00000000-0005-0000-0000-0000D10E0000}"/>
    <cellStyle name="Normal 2 4 2 3 2 3 5 3 2" xfId="14781" xr:uid="{8458DE69-ABEC-41C5-92F1-2C90A1870232}"/>
    <cellStyle name="Normal 2 4 2 3 2 3 5 4" xfId="10563" xr:uid="{BA8D155E-4D8C-4841-B59E-8AB6F7CF8083}"/>
    <cellStyle name="Normal 2 4 2 3 2 3 6" xfId="2461" xr:uid="{00000000-0005-0000-0000-0000D20E0000}"/>
    <cellStyle name="Normal 2 4 2 3 2 3 6 2" xfId="6744" xr:uid="{00000000-0005-0000-0000-0000D30E0000}"/>
    <cellStyle name="Normal 2 4 2 3 2 3 6 2 2" xfId="15194" xr:uid="{0B7189DB-45B8-4749-BD6B-5251E2441501}"/>
    <cellStyle name="Normal 2 4 2 3 2 3 6 3" xfId="10976" xr:uid="{FDA561B6-F1F6-4DBE-91F2-85F8ADBC37B8}"/>
    <cellStyle name="Normal 2 4 2 3 2 3 7" xfId="4678" xr:uid="{00000000-0005-0000-0000-0000D40E0000}"/>
    <cellStyle name="Normal 2 4 2 3 2 3 7 2" xfId="13128" xr:uid="{D6E8B4AE-A58B-4F48-932C-8508685A9436}"/>
    <cellStyle name="Normal 2 4 2 3 2 3 8" xfId="8910" xr:uid="{BCEB6D30-67BD-442D-9BAB-B382446C0BA5}"/>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7F4ADCC9-77B6-427C-B655-3BB0A6220345}"/>
    <cellStyle name="Normal 2 4 2 3 2 4 2 3" xfId="11466" xr:uid="{26095E5D-5A88-4141-837F-59705725F6F4}"/>
    <cellStyle name="Normal 2 4 2 3 2 4 3" xfId="5089" xr:uid="{00000000-0005-0000-0000-0000D80E0000}"/>
    <cellStyle name="Normal 2 4 2 3 2 4 3 2" xfId="13539" xr:uid="{AF7F2644-BA17-4C69-8D1A-77129E4A4A0B}"/>
    <cellStyle name="Normal 2 4 2 3 2 4 4" xfId="9321" xr:uid="{440BECC4-7B71-4A66-8842-7FE5E29DE4C7}"/>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41961577-FFF3-44B6-901C-F1FB0D91D575}"/>
    <cellStyle name="Normal 2 4 2 3 2 5 2 3" xfId="11879" xr:uid="{B0A430BD-3248-46DF-A63B-51006E0FD801}"/>
    <cellStyle name="Normal 2 4 2 3 2 5 3" xfId="5502" xr:uid="{00000000-0005-0000-0000-0000DC0E0000}"/>
    <cellStyle name="Normal 2 4 2 3 2 5 3 2" xfId="13952" xr:uid="{44898AD5-5BDB-4BE1-9AFE-F9E8C39046C7}"/>
    <cellStyle name="Normal 2 4 2 3 2 5 4" xfId="9734" xr:uid="{A3D32D42-A64A-41D5-8AF5-42D654F0B4D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6F6CCCC7-8B0B-45FD-8A9B-9682A554CFFF}"/>
    <cellStyle name="Normal 2 4 2 3 2 6 2 3" xfId="12292" xr:uid="{CD9CB170-54EC-45B3-A6CF-434F10B55CAE}"/>
    <cellStyle name="Normal 2 4 2 3 2 6 3" xfId="5915" xr:uid="{00000000-0005-0000-0000-0000E00E0000}"/>
    <cellStyle name="Normal 2 4 2 3 2 6 3 2" xfId="14365" xr:uid="{FEDE9360-8311-4F9E-A00E-FD7DC7FAF0C6}"/>
    <cellStyle name="Normal 2 4 2 3 2 6 4" xfId="10147" xr:uid="{D241CCBD-19EA-45C8-AB62-2BC11B3B7B6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4D12A43A-F128-4D5D-B7F1-DAAF4A092970}"/>
    <cellStyle name="Normal 2 4 2 3 2 7 2 3" xfId="12705" xr:uid="{76B28E68-2D55-448B-B043-9813E37713F3}"/>
    <cellStyle name="Normal 2 4 2 3 2 7 3" xfId="6328" xr:uid="{00000000-0005-0000-0000-0000E40E0000}"/>
    <cellStyle name="Normal 2 4 2 3 2 7 3 2" xfId="14778" xr:uid="{31892246-BF32-43C0-B0CF-AC253557E566}"/>
    <cellStyle name="Normal 2 4 2 3 2 7 4" xfId="10560" xr:uid="{8A377136-1268-40E6-B1B5-8BAD65375368}"/>
    <cellStyle name="Normal 2 4 2 3 2 8" xfId="2458" xr:uid="{00000000-0005-0000-0000-0000E50E0000}"/>
    <cellStyle name="Normal 2 4 2 3 2 8 2" xfId="6741" xr:uid="{00000000-0005-0000-0000-0000E60E0000}"/>
    <cellStyle name="Normal 2 4 2 3 2 8 2 2" xfId="15191" xr:uid="{A9083E63-15D6-4DB9-849A-B4DF969DE5E0}"/>
    <cellStyle name="Normal 2 4 2 3 2 8 3" xfId="10973" xr:uid="{9B2810F3-77F0-4C2E-9B43-EAC2BE82E7D7}"/>
    <cellStyle name="Normal 2 4 2 3 2 9" xfId="4675" xr:uid="{00000000-0005-0000-0000-0000E70E0000}"/>
    <cellStyle name="Normal 2 4 2 3 2 9 2" xfId="13125" xr:uid="{742BDCFE-2821-4EFC-9EB1-9A0E4C0B9B73}"/>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1B4B6103-FA4F-4926-A2F8-BD64AC422416}"/>
    <cellStyle name="Normal 2 4 2 3 3 2 2 2 3" xfId="11471" xr:uid="{3D13A487-6FDD-43D5-9D76-7543302B819D}"/>
    <cellStyle name="Normal 2 4 2 3 3 2 2 3" xfId="5094" xr:uid="{00000000-0005-0000-0000-0000ED0E0000}"/>
    <cellStyle name="Normal 2 4 2 3 3 2 2 3 2" xfId="13544" xr:uid="{175B7AE6-A6DD-49BF-8577-E5EC547CB203}"/>
    <cellStyle name="Normal 2 4 2 3 3 2 2 4" xfId="9326" xr:uid="{0082CD9F-1B1D-416A-AB08-F085970A3BAA}"/>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639558AD-381F-4BE1-BF26-1F9F1DB7E577}"/>
    <cellStyle name="Normal 2 4 2 3 3 2 3 2 3" xfId="11884" xr:uid="{BCC7AD98-54BD-4BA2-8ED3-DD11C93A2944}"/>
    <cellStyle name="Normal 2 4 2 3 3 2 3 3" xfId="5507" xr:uid="{00000000-0005-0000-0000-0000F10E0000}"/>
    <cellStyle name="Normal 2 4 2 3 3 2 3 3 2" xfId="13957" xr:uid="{0B564087-D173-46B0-AA59-BE9828CE168A}"/>
    <cellStyle name="Normal 2 4 2 3 3 2 3 4" xfId="9739" xr:uid="{406838AA-A153-43CE-A9CF-022C4568B52E}"/>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727E7F80-EADF-4C6D-8F22-8C655CB9A133}"/>
    <cellStyle name="Normal 2 4 2 3 3 2 4 2 3" xfId="12297" xr:uid="{A21E1946-DA20-4160-80DE-225FA1C62CA1}"/>
    <cellStyle name="Normal 2 4 2 3 3 2 4 3" xfId="5920" xr:uid="{00000000-0005-0000-0000-0000F50E0000}"/>
    <cellStyle name="Normal 2 4 2 3 3 2 4 3 2" xfId="14370" xr:uid="{B47768B0-C2FF-499F-BF08-D0D7B8A3DA22}"/>
    <cellStyle name="Normal 2 4 2 3 3 2 4 4" xfId="10152" xr:uid="{2687F463-621A-4B48-9B24-06FC34942BD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D31E31DF-6422-4670-8697-866C4395C986}"/>
    <cellStyle name="Normal 2 4 2 3 3 2 5 2 3" xfId="12710" xr:uid="{32D366E1-3C69-4185-8793-8C120F8BA420}"/>
    <cellStyle name="Normal 2 4 2 3 3 2 5 3" xfId="6333" xr:uid="{00000000-0005-0000-0000-0000F90E0000}"/>
    <cellStyle name="Normal 2 4 2 3 3 2 5 3 2" xfId="14783" xr:uid="{9766ED65-6C7F-4DA4-940D-C0AB4DD66F63}"/>
    <cellStyle name="Normal 2 4 2 3 3 2 5 4" xfId="10565" xr:uid="{6043CD3D-98DF-4C0B-912D-A592B6114888}"/>
    <cellStyle name="Normal 2 4 2 3 3 2 6" xfId="2463" xr:uid="{00000000-0005-0000-0000-0000FA0E0000}"/>
    <cellStyle name="Normal 2 4 2 3 3 2 6 2" xfId="6746" xr:uid="{00000000-0005-0000-0000-0000FB0E0000}"/>
    <cellStyle name="Normal 2 4 2 3 3 2 6 2 2" xfId="15196" xr:uid="{94F2AD39-672C-4CAF-A9D9-9EC12330281D}"/>
    <cellStyle name="Normal 2 4 2 3 3 2 6 3" xfId="10978" xr:uid="{05A4B99C-20C1-4747-8609-4F9E06910798}"/>
    <cellStyle name="Normal 2 4 2 3 3 2 7" xfId="4680" xr:uid="{00000000-0005-0000-0000-0000FC0E0000}"/>
    <cellStyle name="Normal 2 4 2 3 3 2 7 2" xfId="13130" xr:uid="{27D7470B-FB8B-4D4D-94BD-FA0F918D87E2}"/>
    <cellStyle name="Normal 2 4 2 3 3 2 8" xfId="8912" xr:uid="{95C361F3-4324-4C8F-9B52-3B41BC1C3C28}"/>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610A09F0-F888-4F6D-85A6-8CEC0DC6D5F4}"/>
    <cellStyle name="Normal 2 4 2 3 3 3 2 3" xfId="11470" xr:uid="{5D5CA9DF-4AE1-4C4A-B527-9F7CC4E188D2}"/>
    <cellStyle name="Normal 2 4 2 3 3 3 3" xfId="5093" xr:uid="{00000000-0005-0000-0000-0000000F0000}"/>
    <cellStyle name="Normal 2 4 2 3 3 3 3 2" xfId="13543" xr:uid="{E46F008C-8782-4D82-B5E1-1DBA93DDCB5C}"/>
    <cellStyle name="Normal 2 4 2 3 3 3 4" xfId="9325" xr:uid="{90EA01AB-3EDF-4CE9-93B9-86E6BFFECED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88FE740F-3B5A-4AC9-A0BF-61DC96491CE0}"/>
    <cellStyle name="Normal 2 4 2 3 3 4 2 3" xfId="11883" xr:uid="{63018ECD-DF08-4725-8CDA-AA4116972A41}"/>
    <cellStyle name="Normal 2 4 2 3 3 4 3" xfId="5506" xr:uid="{00000000-0005-0000-0000-0000040F0000}"/>
    <cellStyle name="Normal 2 4 2 3 3 4 3 2" xfId="13956" xr:uid="{E6F0EAB8-BB0C-4514-B6F2-81BFB58872FB}"/>
    <cellStyle name="Normal 2 4 2 3 3 4 4" xfId="9738" xr:uid="{13D1A119-8A81-47E7-8F2F-32053CC26657}"/>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EAF9B4B2-0231-4EB4-93D9-23ABCBFAD196}"/>
    <cellStyle name="Normal 2 4 2 3 3 5 2 3" xfId="12296" xr:uid="{ED22265D-C543-48A1-A3BC-8B1AF1A4497C}"/>
    <cellStyle name="Normal 2 4 2 3 3 5 3" xfId="5919" xr:uid="{00000000-0005-0000-0000-0000080F0000}"/>
    <cellStyle name="Normal 2 4 2 3 3 5 3 2" xfId="14369" xr:uid="{02B11EA8-25DB-4924-A01C-739E111671DB}"/>
    <cellStyle name="Normal 2 4 2 3 3 5 4" xfId="10151" xr:uid="{6809429E-1362-44EA-80AC-9397ADC287EA}"/>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74048C59-5964-4A4D-8345-88BA70369E39}"/>
    <cellStyle name="Normal 2 4 2 3 3 6 2 3" xfId="12709" xr:uid="{7B919366-84F8-4DBB-895B-76524B8A9130}"/>
    <cellStyle name="Normal 2 4 2 3 3 6 3" xfId="6332" xr:uid="{00000000-0005-0000-0000-00000C0F0000}"/>
    <cellStyle name="Normal 2 4 2 3 3 6 3 2" xfId="14782" xr:uid="{6C5B039A-EBAB-4F6D-9FC1-74A65245DDEA}"/>
    <cellStyle name="Normal 2 4 2 3 3 6 4" xfId="10564" xr:uid="{C1F8E122-9E97-43B8-84DF-140A9F78DC9F}"/>
    <cellStyle name="Normal 2 4 2 3 3 7" xfId="2462" xr:uid="{00000000-0005-0000-0000-00000D0F0000}"/>
    <cellStyle name="Normal 2 4 2 3 3 7 2" xfId="6745" xr:uid="{00000000-0005-0000-0000-00000E0F0000}"/>
    <cellStyle name="Normal 2 4 2 3 3 7 2 2" xfId="15195" xr:uid="{661F2571-2C3D-4DD0-B820-AEA15B79287A}"/>
    <cellStyle name="Normal 2 4 2 3 3 7 3" xfId="10977" xr:uid="{398CA4CE-B583-4CD3-AE82-A4B402A82AEF}"/>
    <cellStyle name="Normal 2 4 2 3 3 8" xfId="4679" xr:uid="{00000000-0005-0000-0000-00000F0F0000}"/>
    <cellStyle name="Normal 2 4 2 3 3 8 2" xfId="13129" xr:uid="{E304231E-00E5-4D82-9170-A945630172EC}"/>
    <cellStyle name="Normal 2 4 2 3 3 9" xfId="8911" xr:uid="{013F37BB-6044-4062-BE93-FC225E814BB8}"/>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CF22465E-132E-4FA5-901B-BC549B4B8F23}"/>
    <cellStyle name="Normal 2 4 2 3 4 2 2 3" xfId="11472" xr:uid="{C5422F3F-6171-4D1B-A274-ED5CEBE2FACD}"/>
    <cellStyle name="Normal 2 4 2 3 4 2 3" xfId="5095" xr:uid="{00000000-0005-0000-0000-0000140F0000}"/>
    <cellStyle name="Normal 2 4 2 3 4 2 3 2" xfId="13545" xr:uid="{99359A73-3544-4FB1-B07F-FF88927475B8}"/>
    <cellStyle name="Normal 2 4 2 3 4 2 4" xfId="9327" xr:uid="{9DC5371C-0F4A-4A35-A718-1BA57DFF4B27}"/>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99628314-9529-4CB6-A891-FD481BD34915}"/>
    <cellStyle name="Normal 2 4 2 3 4 3 2 3" xfId="11885" xr:uid="{DF804155-6B9D-4DF4-BA36-15329C988BF6}"/>
    <cellStyle name="Normal 2 4 2 3 4 3 3" xfId="5508" xr:uid="{00000000-0005-0000-0000-0000180F0000}"/>
    <cellStyle name="Normal 2 4 2 3 4 3 3 2" xfId="13958" xr:uid="{8A7FD9A5-F7FA-4744-B6B8-C5003E8373D0}"/>
    <cellStyle name="Normal 2 4 2 3 4 3 4" xfId="9740" xr:uid="{D90FD287-A1E8-4CD4-A838-A2BD929F9836}"/>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5236C1A4-2EA7-4038-8F97-511ABD51520C}"/>
    <cellStyle name="Normal 2 4 2 3 4 4 2 3" xfId="12298" xr:uid="{23538E46-87AA-4F54-8965-3B3B9E29340B}"/>
    <cellStyle name="Normal 2 4 2 3 4 4 3" xfId="5921" xr:uid="{00000000-0005-0000-0000-00001C0F0000}"/>
    <cellStyle name="Normal 2 4 2 3 4 4 3 2" xfId="14371" xr:uid="{A873157E-3457-45F0-86C7-4A5CA0EDD633}"/>
    <cellStyle name="Normal 2 4 2 3 4 4 4" xfId="10153" xr:uid="{B2A414C2-EA27-4073-ADF0-793237F1FD6E}"/>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D11386B9-DC21-4E5D-B9E0-81DE1AB97018}"/>
    <cellStyle name="Normal 2 4 2 3 4 5 2 3" xfId="12711" xr:uid="{DDF79DD4-A939-4E2F-83C7-C432D1462FD1}"/>
    <cellStyle name="Normal 2 4 2 3 4 5 3" xfId="6334" xr:uid="{00000000-0005-0000-0000-0000200F0000}"/>
    <cellStyle name="Normal 2 4 2 3 4 5 3 2" xfId="14784" xr:uid="{968D1085-410F-449E-99BA-0BE739782189}"/>
    <cellStyle name="Normal 2 4 2 3 4 5 4" xfId="10566" xr:uid="{3FE277F5-E586-4171-B97C-B0817EFF1FAE}"/>
    <cellStyle name="Normal 2 4 2 3 4 6" xfId="2464" xr:uid="{00000000-0005-0000-0000-0000210F0000}"/>
    <cellStyle name="Normal 2 4 2 3 4 6 2" xfId="6747" xr:uid="{00000000-0005-0000-0000-0000220F0000}"/>
    <cellStyle name="Normal 2 4 2 3 4 6 2 2" xfId="15197" xr:uid="{9D30CB0A-18A5-48B8-B061-747DE63305D8}"/>
    <cellStyle name="Normal 2 4 2 3 4 6 3" xfId="10979" xr:uid="{ABC455CB-1F98-4D0C-A257-D11537B2C403}"/>
    <cellStyle name="Normal 2 4 2 3 4 7" xfId="4681" xr:uid="{00000000-0005-0000-0000-0000230F0000}"/>
    <cellStyle name="Normal 2 4 2 3 4 7 2" xfId="13131" xr:uid="{126A3D6D-6AC2-4D88-B37C-FAA54E095F17}"/>
    <cellStyle name="Normal 2 4 2 3 4 8" xfId="8913" xr:uid="{682424AD-DB86-40CC-9106-9DDB979BB2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B8662787-26AE-4C45-9E56-71C0A2AFC346}"/>
    <cellStyle name="Normal 2 4 2 3 5 2 3" xfId="11465" xr:uid="{012D38BC-7825-42FE-B007-78735B9B6AA2}"/>
    <cellStyle name="Normal 2 4 2 3 5 3" xfId="5088" xr:uid="{00000000-0005-0000-0000-0000270F0000}"/>
    <cellStyle name="Normal 2 4 2 3 5 3 2" xfId="13538" xr:uid="{5F282AE5-0121-43BF-A1ED-FBC13BE0FC13}"/>
    <cellStyle name="Normal 2 4 2 3 5 4" xfId="9320" xr:uid="{0271A23D-F9AB-47F1-939E-6DECA00E8CEF}"/>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41CB1D05-1D54-4AE4-B653-5796D8BBF777}"/>
    <cellStyle name="Normal 2 4 2 3 6 2 3" xfId="11878" xr:uid="{08EA2F47-E3B6-474B-A551-6D953856D10C}"/>
    <cellStyle name="Normal 2 4 2 3 6 3" xfId="5501" xr:uid="{00000000-0005-0000-0000-00002B0F0000}"/>
    <cellStyle name="Normal 2 4 2 3 6 3 2" xfId="13951" xr:uid="{63B6417F-18B5-41C1-AF12-D3AE532B0F70}"/>
    <cellStyle name="Normal 2 4 2 3 6 4" xfId="9733" xr:uid="{D8486D73-0366-4F5A-A7B3-7B249BC01056}"/>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693EF0C3-933F-4BB6-993C-F3B57C629063}"/>
    <cellStyle name="Normal 2 4 2 3 7 2 3" xfId="12291" xr:uid="{458638A7-FA7D-4D67-A52D-3C12985F0B60}"/>
    <cellStyle name="Normal 2 4 2 3 7 3" xfId="5914" xr:uid="{00000000-0005-0000-0000-00002F0F0000}"/>
    <cellStyle name="Normal 2 4 2 3 7 3 2" xfId="14364" xr:uid="{405EE9CA-E752-484B-B00E-168DD8B11868}"/>
    <cellStyle name="Normal 2 4 2 3 7 4" xfId="10146" xr:uid="{E3A96956-6D3B-4E04-B65E-515825711947}"/>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ADDC7ACB-2FBE-4A34-B5AC-DD129CF54CA2}"/>
    <cellStyle name="Normal 2 4 2 3 8 2 3" xfId="12704" xr:uid="{42C95D59-A5EC-41C6-AC8E-1759CBFE5CE2}"/>
    <cellStyle name="Normal 2 4 2 3 8 3" xfId="6327" xr:uid="{00000000-0005-0000-0000-0000330F0000}"/>
    <cellStyle name="Normal 2 4 2 3 8 3 2" xfId="14777" xr:uid="{5564ADD3-5347-42E4-8EF6-3C99D7C1B7A4}"/>
    <cellStyle name="Normal 2 4 2 3 8 4" xfId="10559" xr:uid="{6E1A9ED8-5DE7-4C90-A6C1-50786DFC0D58}"/>
    <cellStyle name="Normal 2 4 2 3 9" xfId="2457" xr:uid="{00000000-0005-0000-0000-0000340F0000}"/>
    <cellStyle name="Normal 2 4 2 3 9 2" xfId="6740" xr:uid="{00000000-0005-0000-0000-0000350F0000}"/>
    <cellStyle name="Normal 2 4 2 3 9 2 2" xfId="15190" xr:uid="{82B1A95E-2987-4F5B-A26A-2D2C44624C72}"/>
    <cellStyle name="Normal 2 4 2 3 9 3" xfId="10972" xr:uid="{788D264B-906B-41A2-B2DE-57AEDC479372}"/>
    <cellStyle name="Normal 2 4 2 4" xfId="289" xr:uid="{00000000-0005-0000-0000-0000360F0000}"/>
    <cellStyle name="Normal 2 4 2 4 10" xfId="8914" xr:uid="{DB161AF5-AEF2-46C5-B217-683F86EA413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FE9F92AE-C596-4799-8EB9-2D663D906DE2}"/>
    <cellStyle name="Normal 2 4 2 4 2 2 2 2 3" xfId="11475" xr:uid="{12EAF4EA-F8EF-40D2-9B1C-1F27F37A681D}"/>
    <cellStyle name="Normal 2 4 2 4 2 2 2 3" xfId="5098" xr:uid="{00000000-0005-0000-0000-00003C0F0000}"/>
    <cellStyle name="Normal 2 4 2 4 2 2 2 3 2" xfId="13548" xr:uid="{0A99F835-A211-43BA-ADDB-A940AD2D46C3}"/>
    <cellStyle name="Normal 2 4 2 4 2 2 2 4" xfId="9330" xr:uid="{B19AD1A1-E9D3-461E-AC3E-8C9DF6375953}"/>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6DFACCD0-5BA9-4742-9F4E-DE7938D1BEF0}"/>
    <cellStyle name="Normal 2 4 2 4 2 2 3 2 3" xfId="11888" xr:uid="{F746B304-F22C-44DC-968F-182FD98D2079}"/>
    <cellStyle name="Normal 2 4 2 4 2 2 3 3" xfId="5511" xr:uid="{00000000-0005-0000-0000-0000400F0000}"/>
    <cellStyle name="Normal 2 4 2 4 2 2 3 3 2" xfId="13961" xr:uid="{61474D9A-5D58-41D4-A7A7-AE0068C7CEF9}"/>
    <cellStyle name="Normal 2 4 2 4 2 2 3 4" xfId="9743" xr:uid="{0BBD2942-FDE9-4B20-B32B-4711CF599B35}"/>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F5F46C1B-A840-4A76-B656-22ED01EE3C11}"/>
    <cellStyle name="Normal 2 4 2 4 2 2 4 2 3" xfId="12301" xr:uid="{CCC3E19D-C6FD-4E92-BA01-B6BF319837DC}"/>
    <cellStyle name="Normal 2 4 2 4 2 2 4 3" xfId="5924" xr:uid="{00000000-0005-0000-0000-0000440F0000}"/>
    <cellStyle name="Normal 2 4 2 4 2 2 4 3 2" xfId="14374" xr:uid="{144A1B84-1B7D-4FBE-A3C0-658C80D2AFB3}"/>
    <cellStyle name="Normal 2 4 2 4 2 2 4 4" xfId="10156" xr:uid="{98FF3FAC-38E7-4A60-A29A-74D5C7D59B75}"/>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04BEAF23-2746-47DB-8E67-DC3DDDE53CC0}"/>
    <cellStyle name="Normal 2 4 2 4 2 2 5 2 3" xfId="12714" xr:uid="{132F832D-9394-4E95-BB50-77520114CD95}"/>
    <cellStyle name="Normal 2 4 2 4 2 2 5 3" xfId="6337" xr:uid="{00000000-0005-0000-0000-0000480F0000}"/>
    <cellStyle name="Normal 2 4 2 4 2 2 5 3 2" xfId="14787" xr:uid="{5C2050E2-BC7E-499C-BE21-69400ECAB501}"/>
    <cellStyle name="Normal 2 4 2 4 2 2 5 4" xfId="10569" xr:uid="{95232EB4-2B75-44F2-AF86-5F1502A04815}"/>
    <cellStyle name="Normal 2 4 2 4 2 2 6" xfId="2467" xr:uid="{00000000-0005-0000-0000-0000490F0000}"/>
    <cellStyle name="Normal 2 4 2 4 2 2 6 2" xfId="6750" xr:uid="{00000000-0005-0000-0000-00004A0F0000}"/>
    <cellStyle name="Normal 2 4 2 4 2 2 6 2 2" xfId="15200" xr:uid="{9D17DF3F-BE51-450C-964A-C6442084151D}"/>
    <cellStyle name="Normal 2 4 2 4 2 2 6 3" xfId="10982" xr:uid="{70441C7F-024D-4D41-8337-181C2CDAAA8A}"/>
    <cellStyle name="Normal 2 4 2 4 2 2 7" xfId="4684" xr:uid="{00000000-0005-0000-0000-00004B0F0000}"/>
    <cellStyle name="Normal 2 4 2 4 2 2 7 2" xfId="13134" xr:uid="{B299B6E2-2790-4DBF-9611-A7AE29BEB305}"/>
    <cellStyle name="Normal 2 4 2 4 2 2 8" xfId="8916" xr:uid="{9A22DF74-40CF-4CD4-B476-EFD455E186E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4887AF89-B9AC-49FC-B9E0-FF9595A84A7C}"/>
    <cellStyle name="Normal 2 4 2 4 2 3 2 3" xfId="11474" xr:uid="{6696172D-B064-4B03-AFD0-283DD2213184}"/>
    <cellStyle name="Normal 2 4 2 4 2 3 3" xfId="5097" xr:uid="{00000000-0005-0000-0000-00004F0F0000}"/>
    <cellStyle name="Normal 2 4 2 4 2 3 3 2" xfId="13547" xr:uid="{B8EB17AA-5F68-4C57-A37B-1F2B111EDB8C}"/>
    <cellStyle name="Normal 2 4 2 4 2 3 4" xfId="9329" xr:uid="{28443F41-5B2E-44E8-B824-8CDEF83C7E95}"/>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0F204FCA-7986-4C8E-BEF3-D7EE6E69D2BB}"/>
    <cellStyle name="Normal 2 4 2 4 2 4 2 3" xfId="11887" xr:uid="{CA7EC80F-5FAD-43CE-AB83-4CB22A08FA99}"/>
    <cellStyle name="Normal 2 4 2 4 2 4 3" xfId="5510" xr:uid="{00000000-0005-0000-0000-0000530F0000}"/>
    <cellStyle name="Normal 2 4 2 4 2 4 3 2" xfId="13960" xr:uid="{01F697C1-7504-457F-96F9-77593A25CED1}"/>
    <cellStyle name="Normal 2 4 2 4 2 4 4" xfId="9742" xr:uid="{5694A7C7-EBFD-4486-82BB-4B02120A0B69}"/>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F44CC171-B3FA-466F-B45C-740FBA4A2F97}"/>
    <cellStyle name="Normal 2 4 2 4 2 5 2 3" xfId="12300" xr:uid="{9715D1E9-77A1-4859-B380-306AC351F117}"/>
    <cellStyle name="Normal 2 4 2 4 2 5 3" xfId="5923" xr:uid="{00000000-0005-0000-0000-0000570F0000}"/>
    <cellStyle name="Normal 2 4 2 4 2 5 3 2" xfId="14373" xr:uid="{E5079A92-6AEE-4585-AB62-8058F9CBE501}"/>
    <cellStyle name="Normal 2 4 2 4 2 5 4" xfId="10155" xr:uid="{DF59A83F-EDB1-417F-8AF9-1FD2D60A39DB}"/>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9FB8C799-930F-45B4-98E0-F572254912CC}"/>
    <cellStyle name="Normal 2 4 2 4 2 6 2 3" xfId="12713" xr:uid="{84FED11A-CC44-4AE2-91BE-8806CEFE7AC3}"/>
    <cellStyle name="Normal 2 4 2 4 2 6 3" xfId="6336" xr:uid="{00000000-0005-0000-0000-00005B0F0000}"/>
    <cellStyle name="Normal 2 4 2 4 2 6 3 2" xfId="14786" xr:uid="{029B8FE0-D2EF-4AAA-938E-F966F7F98397}"/>
    <cellStyle name="Normal 2 4 2 4 2 6 4" xfId="10568" xr:uid="{AE6D51A9-2E01-4C80-88F5-B3901A4978C7}"/>
    <cellStyle name="Normal 2 4 2 4 2 7" xfId="2466" xr:uid="{00000000-0005-0000-0000-00005C0F0000}"/>
    <cellStyle name="Normal 2 4 2 4 2 7 2" xfId="6749" xr:uid="{00000000-0005-0000-0000-00005D0F0000}"/>
    <cellStyle name="Normal 2 4 2 4 2 7 2 2" xfId="15199" xr:uid="{27408599-F0E6-4D2A-9BE7-AE68D8D15AC4}"/>
    <cellStyle name="Normal 2 4 2 4 2 7 3" xfId="10981" xr:uid="{28BC58E4-B92A-45D5-85B7-E442E3BC3423}"/>
    <cellStyle name="Normal 2 4 2 4 2 8" xfId="4683" xr:uid="{00000000-0005-0000-0000-00005E0F0000}"/>
    <cellStyle name="Normal 2 4 2 4 2 8 2" xfId="13133" xr:uid="{AE6473DD-A810-4AB6-B173-22FECCBA50BD}"/>
    <cellStyle name="Normal 2 4 2 4 2 9" xfId="8915" xr:uid="{447D281E-D48F-4A88-AB3E-D0566D3ECBD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560EF49A-41F0-4CC9-947E-394D6B0620F9}"/>
    <cellStyle name="Normal 2 4 2 4 3 2 2 3" xfId="11476" xr:uid="{3A88BDBE-DB91-4B2B-BBE7-139EA2827932}"/>
    <cellStyle name="Normal 2 4 2 4 3 2 3" xfId="5099" xr:uid="{00000000-0005-0000-0000-0000630F0000}"/>
    <cellStyle name="Normal 2 4 2 4 3 2 3 2" xfId="13549" xr:uid="{4C628279-C74B-4132-A72A-12C378390A75}"/>
    <cellStyle name="Normal 2 4 2 4 3 2 4" xfId="9331" xr:uid="{C70858F0-F23A-429D-8BF7-08D6CBE764FE}"/>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ACEC0D2B-5058-4693-A5D6-C5A45EC9E31D}"/>
    <cellStyle name="Normal 2 4 2 4 3 3 2 3" xfId="11889" xr:uid="{3F7FEBBE-8F4D-45D5-B769-8CC87449EECE}"/>
    <cellStyle name="Normal 2 4 2 4 3 3 3" xfId="5512" xr:uid="{00000000-0005-0000-0000-0000670F0000}"/>
    <cellStyle name="Normal 2 4 2 4 3 3 3 2" xfId="13962" xr:uid="{A127DFCA-9419-43C8-9065-07F3EE25C84C}"/>
    <cellStyle name="Normal 2 4 2 4 3 3 4" xfId="9744" xr:uid="{F5592955-E49B-4BD8-B8D2-E61EA7D0E7B8}"/>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AF9E76E4-737E-4F4B-B4AE-97CD7FFFDF3B}"/>
    <cellStyle name="Normal 2 4 2 4 3 4 2 3" xfId="12302" xr:uid="{DE92EFF0-772E-4547-8138-40361AE4965B}"/>
    <cellStyle name="Normal 2 4 2 4 3 4 3" xfId="5925" xr:uid="{00000000-0005-0000-0000-00006B0F0000}"/>
    <cellStyle name="Normal 2 4 2 4 3 4 3 2" xfId="14375" xr:uid="{6D33FD7F-013F-4AE5-BECB-7DA64368BABE}"/>
    <cellStyle name="Normal 2 4 2 4 3 4 4" xfId="10157" xr:uid="{F80E23B7-AE0E-4BCE-8CBD-3B8A7D6DB19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27466B24-BC5C-418C-8571-B6BF1EBC33AB}"/>
    <cellStyle name="Normal 2 4 2 4 3 5 2 3" xfId="12715" xr:uid="{99BEC52D-3533-4A0E-9E3F-9D36BACEAE0D}"/>
    <cellStyle name="Normal 2 4 2 4 3 5 3" xfId="6338" xr:uid="{00000000-0005-0000-0000-00006F0F0000}"/>
    <cellStyle name="Normal 2 4 2 4 3 5 3 2" xfId="14788" xr:uid="{D7024B80-4688-4C90-8007-81143A9D64F1}"/>
    <cellStyle name="Normal 2 4 2 4 3 5 4" xfId="10570" xr:uid="{652D9CCA-2A1B-4ED3-A302-B283458D3C90}"/>
    <cellStyle name="Normal 2 4 2 4 3 6" xfId="2468" xr:uid="{00000000-0005-0000-0000-0000700F0000}"/>
    <cellStyle name="Normal 2 4 2 4 3 6 2" xfId="6751" xr:uid="{00000000-0005-0000-0000-0000710F0000}"/>
    <cellStyle name="Normal 2 4 2 4 3 6 2 2" xfId="15201" xr:uid="{77ACA253-3DD8-463B-9DED-F38068BF0038}"/>
    <cellStyle name="Normal 2 4 2 4 3 6 3" xfId="10983" xr:uid="{6464A505-E0EE-4B36-B91F-5BEA58447464}"/>
    <cellStyle name="Normal 2 4 2 4 3 7" xfId="4685" xr:uid="{00000000-0005-0000-0000-0000720F0000}"/>
    <cellStyle name="Normal 2 4 2 4 3 7 2" xfId="13135" xr:uid="{5E005768-5811-443F-BBAF-D58EF24FBC5A}"/>
    <cellStyle name="Normal 2 4 2 4 3 8" xfId="8917" xr:uid="{24C3FBA4-D1A9-499A-AB14-E13526A1548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25CDCD1D-7EB1-40F3-9295-424182159483}"/>
    <cellStyle name="Normal 2 4 2 4 4 2 3" xfId="11473" xr:uid="{08E59DC6-9308-4763-A648-7728FE9D3970}"/>
    <cellStyle name="Normal 2 4 2 4 4 3" xfId="5096" xr:uid="{00000000-0005-0000-0000-0000760F0000}"/>
    <cellStyle name="Normal 2 4 2 4 4 3 2" xfId="13546" xr:uid="{82D6A6BF-63F4-43A8-894B-E3319E81F61D}"/>
    <cellStyle name="Normal 2 4 2 4 4 4" xfId="9328" xr:uid="{98CD0A01-6A5B-4D14-AA67-F2A36D95D7AD}"/>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F7206010-4D0E-4307-8859-B27195195E76}"/>
    <cellStyle name="Normal 2 4 2 4 5 2 3" xfId="11886" xr:uid="{D95B99DD-0566-4060-9C76-EF2CC74E4BEF}"/>
    <cellStyle name="Normal 2 4 2 4 5 3" xfId="5509" xr:uid="{00000000-0005-0000-0000-00007A0F0000}"/>
    <cellStyle name="Normal 2 4 2 4 5 3 2" xfId="13959" xr:uid="{6FF28070-98A3-4746-8A21-3FC34D1E7251}"/>
    <cellStyle name="Normal 2 4 2 4 5 4" xfId="9741" xr:uid="{14E51F63-60C4-45CA-8346-775700D8C77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32052281-B61C-4E01-81E1-85F1F103C6AB}"/>
    <cellStyle name="Normal 2 4 2 4 6 2 3" xfId="12299" xr:uid="{8E29DD65-CD8F-4D6F-9A9C-45AF573F6E9B}"/>
    <cellStyle name="Normal 2 4 2 4 6 3" xfId="5922" xr:uid="{00000000-0005-0000-0000-00007E0F0000}"/>
    <cellStyle name="Normal 2 4 2 4 6 3 2" xfId="14372" xr:uid="{2C15A6B6-0581-4375-88D0-1ADD71BA72AD}"/>
    <cellStyle name="Normal 2 4 2 4 6 4" xfId="10154" xr:uid="{991A0F9A-ED28-4163-AB03-1B308DF80B12}"/>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252F2936-1CB3-456B-8117-03E206744DA3}"/>
    <cellStyle name="Normal 2 4 2 4 7 2 3" xfId="12712" xr:uid="{3D4C9553-A40C-46E9-83CD-AAB9382B516C}"/>
    <cellStyle name="Normal 2 4 2 4 7 3" xfId="6335" xr:uid="{00000000-0005-0000-0000-0000820F0000}"/>
    <cellStyle name="Normal 2 4 2 4 7 3 2" xfId="14785" xr:uid="{9FCD81B4-6C8A-4728-8F94-F032B19E0D36}"/>
    <cellStyle name="Normal 2 4 2 4 7 4" xfId="10567" xr:uid="{D96D0680-7044-4400-9331-6271C65AF1F8}"/>
    <cellStyle name="Normal 2 4 2 4 8" xfId="2465" xr:uid="{00000000-0005-0000-0000-0000830F0000}"/>
    <cellStyle name="Normal 2 4 2 4 8 2" xfId="6748" xr:uid="{00000000-0005-0000-0000-0000840F0000}"/>
    <cellStyle name="Normal 2 4 2 4 8 2 2" xfId="15198" xr:uid="{590BD336-F44C-4227-856B-A383F71CD1DB}"/>
    <cellStyle name="Normal 2 4 2 4 8 3" xfId="10980" xr:uid="{189923BC-7DFF-48F2-8019-5B7ACB2F29D0}"/>
    <cellStyle name="Normal 2 4 2 4 9" xfId="4682" xr:uid="{00000000-0005-0000-0000-0000850F0000}"/>
    <cellStyle name="Normal 2 4 2 4 9 2" xfId="13132" xr:uid="{ECF002BF-EB1C-4DA7-8FBC-207611BCB6E5}"/>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288B3590-C485-4022-948B-092FD17A36A0}"/>
    <cellStyle name="Normal 2 4 2 5 2 2 2 3" xfId="11478" xr:uid="{EB708555-8B0C-4CE3-9A33-A424C86BC0E8}"/>
    <cellStyle name="Normal 2 4 2 5 2 2 3" xfId="5101" xr:uid="{00000000-0005-0000-0000-00008B0F0000}"/>
    <cellStyle name="Normal 2 4 2 5 2 2 3 2" xfId="13551" xr:uid="{FFA2E11D-EB14-4592-8118-321C86F46D48}"/>
    <cellStyle name="Normal 2 4 2 5 2 2 4" xfId="9333" xr:uid="{DAF57A5A-853E-4E7A-89CF-66FBC444277A}"/>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AE85766A-AF4E-40F8-86A5-A5E700152A0D}"/>
    <cellStyle name="Normal 2 4 2 5 2 3 2 3" xfId="11891" xr:uid="{A92AB594-D1C2-46E4-8889-BE8672640132}"/>
    <cellStyle name="Normal 2 4 2 5 2 3 3" xfId="5514" xr:uid="{00000000-0005-0000-0000-00008F0F0000}"/>
    <cellStyle name="Normal 2 4 2 5 2 3 3 2" xfId="13964" xr:uid="{7FB21EF3-81B6-4EF2-AE64-89E76CA82372}"/>
    <cellStyle name="Normal 2 4 2 5 2 3 4" xfId="9746" xr:uid="{67D01639-4CB8-4058-835A-E75DDD5A5EA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4097C98E-D617-40C7-9A03-82E3F5606947}"/>
    <cellStyle name="Normal 2 4 2 5 2 4 2 3" xfId="12304" xr:uid="{6393DDA1-F72E-41C7-9E71-13DF8A29248E}"/>
    <cellStyle name="Normal 2 4 2 5 2 4 3" xfId="5927" xr:uid="{00000000-0005-0000-0000-0000930F0000}"/>
    <cellStyle name="Normal 2 4 2 5 2 4 3 2" xfId="14377" xr:uid="{AA8CE2EF-AAE3-4E3A-862C-97B3CACDF5EF}"/>
    <cellStyle name="Normal 2 4 2 5 2 4 4" xfId="10159" xr:uid="{0C21A853-07E7-4FEB-BB63-065E989845A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A1351BD6-74D3-43A1-BF71-0B4DC0CB21DE}"/>
    <cellStyle name="Normal 2 4 2 5 2 5 2 3" xfId="12717" xr:uid="{C0C546E1-8887-4B95-A52F-918FB6B17E7F}"/>
    <cellStyle name="Normal 2 4 2 5 2 5 3" xfId="6340" xr:uid="{00000000-0005-0000-0000-0000970F0000}"/>
    <cellStyle name="Normal 2 4 2 5 2 5 3 2" xfId="14790" xr:uid="{AAE881A2-9F4C-47BC-8F15-89195AF6D426}"/>
    <cellStyle name="Normal 2 4 2 5 2 5 4" xfId="10572" xr:uid="{DA55EF58-7A49-4816-A671-966E9C2B6BBE}"/>
    <cellStyle name="Normal 2 4 2 5 2 6" xfId="2470" xr:uid="{00000000-0005-0000-0000-0000980F0000}"/>
    <cellStyle name="Normal 2 4 2 5 2 6 2" xfId="6753" xr:uid="{00000000-0005-0000-0000-0000990F0000}"/>
    <cellStyle name="Normal 2 4 2 5 2 6 2 2" xfId="15203" xr:uid="{E882DC44-93C1-4F88-BEB4-D0838CD0A885}"/>
    <cellStyle name="Normal 2 4 2 5 2 6 3" xfId="10985" xr:uid="{88D7328B-7A96-4892-A1A7-36E4782170FD}"/>
    <cellStyle name="Normal 2 4 2 5 2 7" xfId="4687" xr:uid="{00000000-0005-0000-0000-00009A0F0000}"/>
    <cellStyle name="Normal 2 4 2 5 2 7 2" xfId="13137" xr:uid="{459533C0-A476-4007-B43F-3BFB750A7591}"/>
    <cellStyle name="Normal 2 4 2 5 2 8" xfId="8919" xr:uid="{E7D7D0C1-0D64-4B8C-A67D-49DA29573D5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F8E811D3-37EA-48DB-9F44-B3A62F36FE6C}"/>
    <cellStyle name="Normal 2 4 2 5 3 2 3" xfId="11477" xr:uid="{6960F162-895E-4A50-8646-3BB578B59374}"/>
    <cellStyle name="Normal 2 4 2 5 3 3" xfId="5100" xr:uid="{00000000-0005-0000-0000-00009E0F0000}"/>
    <cellStyle name="Normal 2 4 2 5 3 3 2" xfId="13550" xr:uid="{23466223-554F-499E-8A6A-B8D13D2C2E11}"/>
    <cellStyle name="Normal 2 4 2 5 3 4" xfId="9332" xr:uid="{D056EE20-4399-492F-ACB6-C95174A5886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C54D6DA5-A15C-4378-976C-6C38283990C8}"/>
    <cellStyle name="Normal 2 4 2 5 4 2 3" xfId="11890" xr:uid="{390EC89F-9E56-4191-88A4-A033A3EE20FF}"/>
    <cellStyle name="Normal 2 4 2 5 4 3" xfId="5513" xr:uid="{00000000-0005-0000-0000-0000A20F0000}"/>
    <cellStyle name="Normal 2 4 2 5 4 3 2" xfId="13963" xr:uid="{5437C943-2F9A-4472-B4D7-E45C208C0996}"/>
    <cellStyle name="Normal 2 4 2 5 4 4" xfId="9745" xr:uid="{1C5AAAA2-E95C-4CE1-90C1-E92323E372D3}"/>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876EB37F-ED51-4324-A93F-F1E2B38DDAA5}"/>
    <cellStyle name="Normal 2 4 2 5 5 2 3" xfId="12303" xr:uid="{43DAA724-1A55-4F2E-9DB3-DE655A2711CD}"/>
    <cellStyle name="Normal 2 4 2 5 5 3" xfId="5926" xr:uid="{00000000-0005-0000-0000-0000A60F0000}"/>
    <cellStyle name="Normal 2 4 2 5 5 3 2" xfId="14376" xr:uid="{58EB0F42-3AC6-4C22-8A5A-78CFD81C00C5}"/>
    <cellStyle name="Normal 2 4 2 5 5 4" xfId="10158" xr:uid="{E38D3100-9702-4B07-ADE4-5C8B11392928}"/>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7E01DCB1-4500-41A0-96CC-024CCACA9171}"/>
    <cellStyle name="Normal 2 4 2 5 6 2 3" xfId="12716" xr:uid="{22D479DF-A772-44C2-8751-711198EAC935}"/>
    <cellStyle name="Normal 2 4 2 5 6 3" xfId="6339" xr:uid="{00000000-0005-0000-0000-0000AA0F0000}"/>
    <cellStyle name="Normal 2 4 2 5 6 3 2" xfId="14789" xr:uid="{A73C5789-3EEA-4A55-BA07-FADBD1058112}"/>
    <cellStyle name="Normal 2 4 2 5 6 4" xfId="10571" xr:uid="{08D66B7B-041F-4DA5-8792-676D560D4F58}"/>
    <cellStyle name="Normal 2 4 2 5 7" xfId="2469" xr:uid="{00000000-0005-0000-0000-0000AB0F0000}"/>
    <cellStyle name="Normal 2 4 2 5 7 2" xfId="6752" xr:uid="{00000000-0005-0000-0000-0000AC0F0000}"/>
    <cellStyle name="Normal 2 4 2 5 7 2 2" xfId="15202" xr:uid="{01FD4CEE-7D18-4822-8404-A84D0958EB7B}"/>
    <cellStyle name="Normal 2 4 2 5 7 3" xfId="10984" xr:uid="{F7D1F8AE-27EB-4710-A3DE-E9C21A717329}"/>
    <cellStyle name="Normal 2 4 2 5 8" xfId="4686" xr:uid="{00000000-0005-0000-0000-0000AD0F0000}"/>
    <cellStyle name="Normal 2 4 2 5 8 2" xfId="13136" xr:uid="{C583C3D0-5248-425A-A5AC-2A1C7C2038F5}"/>
    <cellStyle name="Normal 2 4 2 5 9" xfId="8918" xr:uid="{FDE131AF-086B-40E5-BF5E-2F6ED5787A65}"/>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D4569BED-EC7F-4EDB-9086-791C9CA70F6D}"/>
    <cellStyle name="Normal 2 4 2 6 2 2 3" xfId="11479" xr:uid="{A0830060-424C-4DEC-9446-FB30161BA9CF}"/>
    <cellStyle name="Normal 2 4 2 6 2 3" xfId="5102" xr:uid="{00000000-0005-0000-0000-0000B20F0000}"/>
    <cellStyle name="Normal 2 4 2 6 2 3 2" xfId="13552" xr:uid="{AB547E9C-9272-4090-823D-F7C487E99348}"/>
    <cellStyle name="Normal 2 4 2 6 2 4" xfId="9334" xr:uid="{297223B1-8E40-428B-BB4D-A5E61E82D1A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CC6905AA-B03E-437F-8B7E-04587EBCBEAC}"/>
    <cellStyle name="Normal 2 4 2 6 3 2 3" xfId="11892" xr:uid="{65A072BB-79D6-4F83-988A-2C501D3C8188}"/>
    <cellStyle name="Normal 2 4 2 6 3 3" xfId="5515" xr:uid="{00000000-0005-0000-0000-0000B60F0000}"/>
    <cellStyle name="Normal 2 4 2 6 3 3 2" xfId="13965" xr:uid="{BDC57D4F-522B-444B-9383-6BADB422E2A6}"/>
    <cellStyle name="Normal 2 4 2 6 3 4" xfId="9747" xr:uid="{F89F3BEB-0BED-45EF-9812-87EB4DB01AE1}"/>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E436B67A-DA5E-4876-8A2F-2B6587AA879D}"/>
    <cellStyle name="Normal 2 4 2 6 4 2 3" xfId="12305" xr:uid="{44336167-4801-4312-8945-402E4448BCD3}"/>
    <cellStyle name="Normal 2 4 2 6 4 3" xfId="5928" xr:uid="{00000000-0005-0000-0000-0000BA0F0000}"/>
    <cellStyle name="Normal 2 4 2 6 4 3 2" xfId="14378" xr:uid="{A7BF71F0-0081-4237-9159-75E66843286E}"/>
    <cellStyle name="Normal 2 4 2 6 4 4" xfId="10160" xr:uid="{0779FAA1-1F45-46AC-AE81-E75E0A84121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6C2FFEB9-6FC5-434E-B2EC-9A76799180AA}"/>
    <cellStyle name="Normal 2 4 2 6 5 2 3" xfId="12718" xr:uid="{BF7AC365-9030-4D31-A4EB-B89BF80905C7}"/>
    <cellStyle name="Normal 2 4 2 6 5 3" xfId="6341" xr:uid="{00000000-0005-0000-0000-0000BE0F0000}"/>
    <cellStyle name="Normal 2 4 2 6 5 3 2" xfId="14791" xr:uid="{8DE36B98-C29C-46CE-A510-70E9577D8E49}"/>
    <cellStyle name="Normal 2 4 2 6 5 4" xfId="10573" xr:uid="{FB3A8355-797F-49F0-9C77-DD966DEA4E14}"/>
    <cellStyle name="Normal 2 4 2 6 6" xfId="2471" xr:uid="{00000000-0005-0000-0000-0000BF0F0000}"/>
    <cellStyle name="Normal 2 4 2 6 6 2" xfId="6754" xr:uid="{00000000-0005-0000-0000-0000C00F0000}"/>
    <cellStyle name="Normal 2 4 2 6 6 2 2" xfId="15204" xr:uid="{8DC8D2BF-A712-4820-ABC0-09CB2EA97CBE}"/>
    <cellStyle name="Normal 2 4 2 6 6 3" xfId="10986" xr:uid="{08AE08EA-63D4-440E-BA08-7AF25D3D1ED8}"/>
    <cellStyle name="Normal 2 4 2 6 7" xfId="4688" xr:uid="{00000000-0005-0000-0000-0000C10F0000}"/>
    <cellStyle name="Normal 2 4 2 6 7 2" xfId="13138" xr:uid="{6DCEEB30-7907-4895-8E0D-060FCF335E93}"/>
    <cellStyle name="Normal 2 4 2 6 8" xfId="8920" xr:uid="{9896E06E-B51A-42EE-A744-4FCDA5559624}"/>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0402E816-769F-42EF-B6C8-77DA2B1D45E5}"/>
    <cellStyle name="Normal 2 4 2 7 2 3" xfId="11464" xr:uid="{FA23CBFF-63C5-4709-A44B-861CEC1B3F71}"/>
    <cellStyle name="Normal 2 4 2 7 3" xfId="5087" xr:uid="{00000000-0005-0000-0000-0000C50F0000}"/>
    <cellStyle name="Normal 2 4 2 7 3 2" xfId="13537" xr:uid="{DA8C367B-769D-4773-8696-C8DBC4898A6D}"/>
    <cellStyle name="Normal 2 4 2 7 4" xfId="9319" xr:uid="{3CE33415-8213-4BE7-A24C-59A9C282DCA3}"/>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5CE21EE7-C723-4736-B6D3-70F1DAAEEC69}"/>
    <cellStyle name="Normal 2 4 2 8 2 3" xfId="11877" xr:uid="{E3D6B0B3-9A0C-41BA-AA14-0C0B9347902C}"/>
    <cellStyle name="Normal 2 4 2 8 3" xfId="5500" xr:uid="{00000000-0005-0000-0000-0000C90F0000}"/>
    <cellStyle name="Normal 2 4 2 8 3 2" xfId="13950" xr:uid="{C59DB188-E44F-4961-9B6C-6CB9ACFF2AB5}"/>
    <cellStyle name="Normal 2 4 2 8 4" xfId="9732" xr:uid="{EB96842B-6ED7-4B44-8E46-4686DF988698}"/>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983BD342-CEB5-486A-9EF5-78EC7935C9CA}"/>
    <cellStyle name="Normal 2 4 2 9 2 3" xfId="12290" xr:uid="{3995CA4E-B619-4FCC-AF91-DCF381CD6C68}"/>
    <cellStyle name="Normal 2 4 2 9 3" xfId="5913" xr:uid="{00000000-0005-0000-0000-0000CD0F0000}"/>
    <cellStyle name="Normal 2 4 2 9 3 2" xfId="14363" xr:uid="{1634CF21-357F-4E14-A074-F00BE67CFED4}"/>
    <cellStyle name="Normal 2 4 2 9 4" xfId="10145" xr:uid="{5D2AE2F0-774F-4CE3-8C8D-3F41E11C4C7B}"/>
    <cellStyle name="Normal 2 4 3" xfId="296" xr:uid="{00000000-0005-0000-0000-0000CE0F0000}"/>
    <cellStyle name="Normal 2 4 3 10" xfId="8921" xr:uid="{BD46C492-394C-4C26-B3C4-EA8F9A23A305}"/>
    <cellStyle name="Normal 2 4 3 2" xfId="297" xr:uid="{00000000-0005-0000-0000-0000CF0F0000}"/>
    <cellStyle name="Normal 2 4 3 3" xfId="298" xr:uid="{00000000-0005-0000-0000-0000D00F0000}"/>
    <cellStyle name="Normal 2 4 3 3 10" xfId="8922" xr:uid="{5CCAF9CB-0DC6-48D5-B67C-EC45EF8B733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EE53D11C-9A0F-424A-9CDD-A3472A253F5E}"/>
    <cellStyle name="Normal 2 4 3 3 2 2 2 2 3" xfId="11483" xr:uid="{57F370C6-9DB2-4EAD-9964-0327AE8CA6FB}"/>
    <cellStyle name="Normal 2 4 3 3 2 2 2 3" xfId="5106" xr:uid="{00000000-0005-0000-0000-0000D60F0000}"/>
    <cellStyle name="Normal 2 4 3 3 2 2 2 3 2" xfId="13556" xr:uid="{DE846AD6-3267-41D2-B346-6B11E67E525D}"/>
    <cellStyle name="Normal 2 4 3 3 2 2 2 4" xfId="9338" xr:uid="{3448779A-47AC-43E3-A4D2-9AF217662B9C}"/>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CDF9F964-CFA6-425F-AD60-2787B058CB97}"/>
    <cellStyle name="Normal 2 4 3 3 2 2 3 2 3" xfId="11896" xr:uid="{0341B954-00E3-42CE-95D6-A309A2150A94}"/>
    <cellStyle name="Normal 2 4 3 3 2 2 3 3" xfId="5519" xr:uid="{00000000-0005-0000-0000-0000DA0F0000}"/>
    <cellStyle name="Normal 2 4 3 3 2 2 3 3 2" xfId="13969" xr:uid="{34961ABF-7FDA-4969-8483-FECE9A171207}"/>
    <cellStyle name="Normal 2 4 3 3 2 2 3 4" xfId="9751" xr:uid="{60284E22-7370-4EC4-9AEF-4F79D34C038F}"/>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77E7027E-86B3-4F0E-8EB2-198B317E428D}"/>
    <cellStyle name="Normal 2 4 3 3 2 2 4 2 3" xfId="12309" xr:uid="{2ED50C4B-0162-4593-AD43-47E070CB9AE8}"/>
    <cellStyle name="Normal 2 4 3 3 2 2 4 3" xfId="5932" xr:uid="{00000000-0005-0000-0000-0000DE0F0000}"/>
    <cellStyle name="Normal 2 4 3 3 2 2 4 3 2" xfId="14382" xr:uid="{3D3CF8B9-1B6D-481F-A9DF-D29E39A13A4B}"/>
    <cellStyle name="Normal 2 4 3 3 2 2 4 4" xfId="10164" xr:uid="{943612B8-BC4E-41EF-B240-6A91FED29219}"/>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505C932E-6A63-4D43-A61D-47D02A6529B9}"/>
    <cellStyle name="Normal 2 4 3 3 2 2 5 2 3" xfId="12722" xr:uid="{B7AA26B5-CBFB-4F53-9BD1-5E554FD04FB1}"/>
    <cellStyle name="Normal 2 4 3 3 2 2 5 3" xfId="6345" xr:uid="{00000000-0005-0000-0000-0000E20F0000}"/>
    <cellStyle name="Normal 2 4 3 3 2 2 5 3 2" xfId="14795" xr:uid="{86B65E64-2D5D-4656-9127-D06600E50ADD}"/>
    <cellStyle name="Normal 2 4 3 3 2 2 5 4" xfId="10577" xr:uid="{E1FCA0C3-0693-4623-AC60-43572D1C524A}"/>
    <cellStyle name="Normal 2 4 3 3 2 2 6" xfId="2475" xr:uid="{00000000-0005-0000-0000-0000E30F0000}"/>
    <cellStyle name="Normal 2 4 3 3 2 2 6 2" xfId="6758" xr:uid="{00000000-0005-0000-0000-0000E40F0000}"/>
    <cellStyle name="Normal 2 4 3 3 2 2 6 2 2" xfId="15208" xr:uid="{A738A986-641B-4E0D-BE88-35DA9630E326}"/>
    <cellStyle name="Normal 2 4 3 3 2 2 6 3" xfId="10990" xr:uid="{D9A0E6CB-893F-48EE-A3BB-9A583968BE47}"/>
    <cellStyle name="Normal 2 4 3 3 2 2 7" xfId="4692" xr:uid="{00000000-0005-0000-0000-0000E50F0000}"/>
    <cellStyle name="Normal 2 4 3 3 2 2 7 2" xfId="13142" xr:uid="{25C66554-87E5-4D92-BF81-C5582ED2B2CA}"/>
    <cellStyle name="Normal 2 4 3 3 2 2 8" xfId="8924" xr:uid="{24A8E14F-E367-4DB4-BCB0-B0DBDFCF91BD}"/>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483298C7-03CA-47AE-8AB3-4A197C8387C2}"/>
    <cellStyle name="Normal 2 4 3 3 2 3 2 3" xfId="11482" xr:uid="{281573C3-08E3-44E5-8CC4-33477E464A33}"/>
    <cellStyle name="Normal 2 4 3 3 2 3 3" xfId="5105" xr:uid="{00000000-0005-0000-0000-0000E90F0000}"/>
    <cellStyle name="Normal 2 4 3 3 2 3 3 2" xfId="13555" xr:uid="{BE345DE3-2897-40C0-A40D-D37225068FEE}"/>
    <cellStyle name="Normal 2 4 3 3 2 3 4" xfId="9337" xr:uid="{FD0CC74E-D4BB-4FAD-ADDB-98F3D32006F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265E6F5C-5C05-4581-9AEE-A8B9A05B18F4}"/>
    <cellStyle name="Normal 2 4 3 3 2 4 2 3" xfId="11895" xr:uid="{FFEF8BC0-DFC3-4D50-BE79-F44CFD9F9909}"/>
    <cellStyle name="Normal 2 4 3 3 2 4 3" xfId="5518" xr:uid="{00000000-0005-0000-0000-0000ED0F0000}"/>
    <cellStyle name="Normal 2 4 3 3 2 4 3 2" xfId="13968" xr:uid="{B24BBCA3-6679-4A98-8694-E68EFB24EE97}"/>
    <cellStyle name="Normal 2 4 3 3 2 4 4" xfId="9750" xr:uid="{D45F6F75-C8FD-4C20-8791-7153D893CB7D}"/>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38FC3E55-40B1-4F8A-A116-8CE09046ABBC}"/>
    <cellStyle name="Normal 2 4 3 3 2 5 2 3" xfId="12308" xr:uid="{BF0FD2A1-2525-4A65-BA3B-234C642C9987}"/>
    <cellStyle name="Normal 2 4 3 3 2 5 3" xfId="5931" xr:uid="{00000000-0005-0000-0000-0000F10F0000}"/>
    <cellStyle name="Normal 2 4 3 3 2 5 3 2" xfId="14381" xr:uid="{5F21B192-2E85-4AC5-8872-A36100C9E206}"/>
    <cellStyle name="Normal 2 4 3 3 2 5 4" xfId="10163" xr:uid="{4A17DA6C-15C5-455C-A037-A10C908F5D36}"/>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B3AEE800-045F-4EEF-9648-90CBD16DC7DC}"/>
    <cellStyle name="Normal 2 4 3 3 2 6 2 3" xfId="12721" xr:uid="{67B8177E-F204-4081-8557-DCC5E7FA7F13}"/>
    <cellStyle name="Normal 2 4 3 3 2 6 3" xfId="6344" xr:uid="{00000000-0005-0000-0000-0000F50F0000}"/>
    <cellStyle name="Normal 2 4 3 3 2 6 3 2" xfId="14794" xr:uid="{C38DE44C-E8F0-456A-8044-FC3C909AD59B}"/>
    <cellStyle name="Normal 2 4 3 3 2 6 4" xfId="10576" xr:uid="{2BE0C5AB-8766-4673-AF85-54A3CCCB6B35}"/>
    <cellStyle name="Normal 2 4 3 3 2 7" xfId="2474" xr:uid="{00000000-0005-0000-0000-0000F60F0000}"/>
    <cellStyle name="Normal 2 4 3 3 2 7 2" xfId="6757" xr:uid="{00000000-0005-0000-0000-0000F70F0000}"/>
    <cellStyle name="Normal 2 4 3 3 2 7 2 2" xfId="15207" xr:uid="{6088DE5C-6645-426A-812F-BA685773DE5E}"/>
    <cellStyle name="Normal 2 4 3 3 2 7 3" xfId="10989" xr:uid="{D36EC48F-677A-461C-A49F-633922C26F9A}"/>
    <cellStyle name="Normal 2 4 3 3 2 8" xfId="4691" xr:uid="{00000000-0005-0000-0000-0000F80F0000}"/>
    <cellStyle name="Normal 2 4 3 3 2 8 2" xfId="13141" xr:uid="{2415A45B-C971-4802-9A7E-CE0B3C43EF6E}"/>
    <cellStyle name="Normal 2 4 3 3 2 9" xfId="8923" xr:uid="{BBBF0891-6FCF-4602-85CF-5FEC06CED4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8B5E2695-B642-4BDB-8F89-C302949D01F4}"/>
    <cellStyle name="Normal 2 4 3 3 3 2 2 3" xfId="11484" xr:uid="{3863B4AF-795A-45DC-ACA2-846A51E48DB0}"/>
    <cellStyle name="Normal 2 4 3 3 3 2 3" xfId="5107" xr:uid="{00000000-0005-0000-0000-0000FD0F0000}"/>
    <cellStyle name="Normal 2 4 3 3 3 2 3 2" xfId="13557" xr:uid="{9A03FA54-4A16-4186-922D-779B8FA759F5}"/>
    <cellStyle name="Normal 2 4 3 3 3 2 4" xfId="9339" xr:uid="{327C6B46-74B6-479E-96D1-DD06E2AD7B5F}"/>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A357ACE6-FB2E-414E-AD54-C4E4E0DABB98}"/>
    <cellStyle name="Normal 2 4 3 3 3 3 2 3" xfId="11897" xr:uid="{9B442F55-1754-43F4-BD1B-E4482D73F391}"/>
    <cellStyle name="Normal 2 4 3 3 3 3 3" xfId="5520" xr:uid="{00000000-0005-0000-0000-000001100000}"/>
    <cellStyle name="Normal 2 4 3 3 3 3 3 2" xfId="13970" xr:uid="{94F10CDD-B6BF-4C05-9DF4-B692F236E769}"/>
    <cellStyle name="Normal 2 4 3 3 3 3 4" xfId="9752" xr:uid="{B3075FF9-6AA4-4A43-9CBB-C5527C0F530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48B0A857-9B9E-4785-9608-7F38C32F872E}"/>
    <cellStyle name="Normal 2 4 3 3 3 4 2 3" xfId="12310" xr:uid="{4EB3077D-B5DC-41CA-B7E1-E85046974C35}"/>
    <cellStyle name="Normal 2 4 3 3 3 4 3" xfId="5933" xr:uid="{00000000-0005-0000-0000-000005100000}"/>
    <cellStyle name="Normal 2 4 3 3 3 4 3 2" xfId="14383" xr:uid="{0ABCE60C-CAE8-4959-BF79-D90D04ABC4B0}"/>
    <cellStyle name="Normal 2 4 3 3 3 4 4" xfId="10165" xr:uid="{F99A9D59-7D5B-411F-8344-BB12ADDCC44E}"/>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B0CF58AD-0E24-41B8-98B5-0004C3045903}"/>
    <cellStyle name="Normal 2 4 3 3 3 5 2 3" xfId="12723" xr:uid="{45DD2194-0663-4077-A74D-210EEAA852AA}"/>
    <cellStyle name="Normal 2 4 3 3 3 5 3" xfId="6346" xr:uid="{00000000-0005-0000-0000-000009100000}"/>
    <cellStyle name="Normal 2 4 3 3 3 5 3 2" xfId="14796" xr:uid="{A1280598-E62A-4CC9-B834-43508B7D46FD}"/>
    <cellStyle name="Normal 2 4 3 3 3 5 4" xfId="10578" xr:uid="{C1488CD2-58E1-4A0A-A3EA-ABD1F6764138}"/>
    <cellStyle name="Normal 2 4 3 3 3 6" xfId="2476" xr:uid="{00000000-0005-0000-0000-00000A100000}"/>
    <cellStyle name="Normal 2 4 3 3 3 6 2" xfId="6759" xr:uid="{00000000-0005-0000-0000-00000B100000}"/>
    <cellStyle name="Normal 2 4 3 3 3 6 2 2" xfId="15209" xr:uid="{3070DE65-ED8A-456A-890A-CCF401725E9A}"/>
    <cellStyle name="Normal 2 4 3 3 3 6 3" xfId="10991" xr:uid="{B106BECC-E0F7-4328-AF48-33198EF7D27D}"/>
    <cellStyle name="Normal 2 4 3 3 3 7" xfId="4693" xr:uid="{00000000-0005-0000-0000-00000C100000}"/>
    <cellStyle name="Normal 2 4 3 3 3 7 2" xfId="13143" xr:uid="{99609BB1-C317-46FE-A329-3F77411ABFE1}"/>
    <cellStyle name="Normal 2 4 3 3 3 8" xfId="8925" xr:uid="{291920B1-B6D6-4E17-9474-75CA842BB178}"/>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C8ED8DD2-C4C5-4DF5-9101-F1123E62C807}"/>
    <cellStyle name="Normal 2 4 3 3 4 2 3" xfId="11481" xr:uid="{3D7CEFBF-8BC7-4185-9CF1-F30FC59D2577}"/>
    <cellStyle name="Normal 2 4 3 3 4 3" xfId="5104" xr:uid="{00000000-0005-0000-0000-000010100000}"/>
    <cellStyle name="Normal 2 4 3 3 4 3 2" xfId="13554" xr:uid="{C6724BF9-EA9A-4612-9E1B-E803FA1215D5}"/>
    <cellStyle name="Normal 2 4 3 3 4 4" xfId="9336" xr:uid="{F297BEAE-9488-41A8-88CC-7BD47020E53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8D6DBEE6-8A70-4FEC-BCC9-7BA85632F3C7}"/>
    <cellStyle name="Normal 2 4 3 3 5 2 3" xfId="11894" xr:uid="{F04E485F-640F-4C6D-89D5-5DCA5437BB18}"/>
    <cellStyle name="Normal 2 4 3 3 5 3" xfId="5517" xr:uid="{00000000-0005-0000-0000-000014100000}"/>
    <cellStyle name="Normal 2 4 3 3 5 3 2" xfId="13967" xr:uid="{D2BF8F72-787E-44D9-9141-8A4A2238F3A1}"/>
    <cellStyle name="Normal 2 4 3 3 5 4" xfId="9749" xr:uid="{0F6B1BD5-5CAD-4A5D-A900-E9652AA907C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8C26EC8B-2FCF-486D-A1C9-5F68621727A9}"/>
    <cellStyle name="Normal 2 4 3 3 6 2 3" xfId="12307" xr:uid="{DE058EB0-3B36-40A6-AD20-59207FC95CAC}"/>
    <cellStyle name="Normal 2 4 3 3 6 3" xfId="5930" xr:uid="{00000000-0005-0000-0000-000018100000}"/>
    <cellStyle name="Normal 2 4 3 3 6 3 2" xfId="14380" xr:uid="{424EF263-C392-4B4B-B07E-CED09117F01C}"/>
    <cellStyle name="Normal 2 4 3 3 6 4" xfId="10162" xr:uid="{567F959F-8B31-4982-B1E3-EA7EA2178877}"/>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AC18BAC6-3E9C-44ED-AD41-1DDA9B38135C}"/>
    <cellStyle name="Normal 2 4 3 3 7 2 3" xfId="12720" xr:uid="{17DC6E63-23A3-49F6-A563-38141E3D8386}"/>
    <cellStyle name="Normal 2 4 3 3 7 3" xfId="6343" xr:uid="{00000000-0005-0000-0000-00001C100000}"/>
    <cellStyle name="Normal 2 4 3 3 7 3 2" xfId="14793" xr:uid="{9AECAF56-160A-4444-9018-0897056C05D1}"/>
    <cellStyle name="Normal 2 4 3 3 7 4" xfId="10575" xr:uid="{732104E8-43D4-4763-8BCA-5FFBBC4D4CDA}"/>
    <cellStyle name="Normal 2 4 3 3 8" xfId="2473" xr:uid="{00000000-0005-0000-0000-00001D100000}"/>
    <cellStyle name="Normal 2 4 3 3 8 2" xfId="6756" xr:uid="{00000000-0005-0000-0000-00001E100000}"/>
    <cellStyle name="Normal 2 4 3 3 8 2 2" xfId="15206" xr:uid="{F9D71157-B088-4B2F-947B-E994CADE9B90}"/>
    <cellStyle name="Normal 2 4 3 3 8 3" xfId="10988" xr:uid="{00C944A9-652F-4ED0-B99D-8153F41C1568}"/>
    <cellStyle name="Normal 2 4 3 3 9" xfId="4690" xr:uid="{00000000-0005-0000-0000-00001F100000}"/>
    <cellStyle name="Normal 2 4 3 3 9 2" xfId="13140" xr:uid="{CB4A148C-CF39-447E-B2CA-8882D9550A6E}"/>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F9732FA9-DBF6-4C7C-B439-FC07C4AE53B0}"/>
    <cellStyle name="Normal 2 4 3 4 2 3" xfId="11480" xr:uid="{CFE3C0C3-0DEF-4AE1-A598-70225416CE53}"/>
    <cellStyle name="Normal 2 4 3 4 3" xfId="5103" xr:uid="{00000000-0005-0000-0000-000023100000}"/>
    <cellStyle name="Normal 2 4 3 4 3 2" xfId="13553" xr:uid="{FE7257A0-4B1D-44B6-AF1D-A1A6ED751EF9}"/>
    <cellStyle name="Normal 2 4 3 4 4" xfId="9335" xr:uid="{D7309146-4EA2-45BB-9DB4-E26C8CD9907B}"/>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69E0AD6B-4EB4-4D84-AB3B-DB59E2853935}"/>
    <cellStyle name="Normal 2 4 3 5 2 3" xfId="11893" xr:uid="{C96A0DDC-3D32-4C8C-976B-EEC4B5A161A0}"/>
    <cellStyle name="Normal 2 4 3 5 3" xfId="5516" xr:uid="{00000000-0005-0000-0000-000027100000}"/>
    <cellStyle name="Normal 2 4 3 5 3 2" xfId="13966" xr:uid="{5E8C9549-2CB2-46EC-B145-F90F89F8541F}"/>
    <cellStyle name="Normal 2 4 3 5 4" xfId="9748" xr:uid="{0B123EF2-E7CD-4FBA-912E-E0ABF419C1E6}"/>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67E37308-8762-422C-B8B2-E6E8355E58A5}"/>
    <cellStyle name="Normal 2 4 3 6 2 3" xfId="12306" xr:uid="{CDB64C0E-1F78-4A9C-9E8A-757E92987A99}"/>
    <cellStyle name="Normal 2 4 3 6 3" xfId="5929" xr:uid="{00000000-0005-0000-0000-00002B100000}"/>
    <cellStyle name="Normal 2 4 3 6 3 2" xfId="14379" xr:uid="{CD7D6D8C-200D-462D-810D-BA81218B5923}"/>
    <cellStyle name="Normal 2 4 3 6 4" xfId="10161" xr:uid="{777350E4-E5F2-467A-B475-F8EF22515424}"/>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352EEC54-F525-453D-A69D-01C98E0D8794}"/>
    <cellStyle name="Normal 2 4 3 7 2 3" xfId="12719" xr:uid="{3B691CE8-7320-474E-B194-EA9FDC7A046E}"/>
    <cellStyle name="Normal 2 4 3 7 3" xfId="6342" xr:uid="{00000000-0005-0000-0000-00002F100000}"/>
    <cellStyle name="Normal 2 4 3 7 3 2" xfId="14792" xr:uid="{5E6622B1-3D21-4429-8F6B-A73BC6D01A6A}"/>
    <cellStyle name="Normal 2 4 3 7 4" xfId="10574" xr:uid="{D0D1765D-4716-42ED-81AE-C6AD6D4986F9}"/>
    <cellStyle name="Normal 2 4 3 8" xfId="2472" xr:uid="{00000000-0005-0000-0000-000030100000}"/>
    <cellStyle name="Normal 2 4 3 8 2" xfId="6755" xr:uid="{00000000-0005-0000-0000-000031100000}"/>
    <cellStyle name="Normal 2 4 3 8 2 2" xfId="15205" xr:uid="{80EBB80F-1AAD-4FDE-A622-81899EF7E42A}"/>
    <cellStyle name="Normal 2 4 3 8 3" xfId="10987" xr:uid="{34057624-37C9-4A14-80CC-CAB287E35673}"/>
    <cellStyle name="Normal 2 4 3 9" xfId="4689" xr:uid="{00000000-0005-0000-0000-000032100000}"/>
    <cellStyle name="Normal 2 4 3 9 2" xfId="13139" xr:uid="{1AD08B85-B392-4FCB-B3DB-D13BD4F7AA0F}"/>
    <cellStyle name="Normal 2 4 4" xfId="302" xr:uid="{00000000-0005-0000-0000-000033100000}"/>
    <cellStyle name="Normal 2 4 5" xfId="303" xr:uid="{00000000-0005-0000-0000-000034100000}"/>
    <cellStyle name="Normal 2 4 5 10" xfId="4694" xr:uid="{00000000-0005-0000-0000-000035100000}"/>
    <cellStyle name="Normal 2 4 5 10 2" xfId="13144" xr:uid="{E4548AC8-A4A3-4679-BEC5-25B1C8D4D020}"/>
    <cellStyle name="Normal 2 4 5 11" xfId="8926" xr:uid="{8832538B-B557-4757-96E1-B2C88EE3712D}"/>
    <cellStyle name="Normal 2 4 5 2" xfId="304" xr:uid="{00000000-0005-0000-0000-000036100000}"/>
    <cellStyle name="Normal 2 4 5 2 10" xfId="8927" xr:uid="{D451DFAA-FC7D-4ED6-AB3B-D079C34E200A}"/>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A8FA70CB-C46B-43B9-BA67-CD0AB6024508}"/>
    <cellStyle name="Normal 2 4 5 2 2 2 2 2 3" xfId="11488" xr:uid="{E2FA065E-CDCC-4115-AE8E-8586846B6D1B}"/>
    <cellStyle name="Normal 2 4 5 2 2 2 2 3" xfId="5111" xr:uid="{00000000-0005-0000-0000-00003C100000}"/>
    <cellStyle name="Normal 2 4 5 2 2 2 2 3 2" xfId="13561" xr:uid="{7BBBB751-707F-498D-9296-CE5C60A5A84F}"/>
    <cellStyle name="Normal 2 4 5 2 2 2 2 4" xfId="9343" xr:uid="{ED086B71-8807-4C0A-B0B2-4286B1146F7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CBDB66F7-A79E-45B8-B8D6-DBF302FF5D03}"/>
    <cellStyle name="Normal 2 4 5 2 2 2 3 2 3" xfId="11901" xr:uid="{0E9DCAE1-F7ED-4A33-B5B3-FB80ACC63C8A}"/>
    <cellStyle name="Normal 2 4 5 2 2 2 3 3" xfId="5524" xr:uid="{00000000-0005-0000-0000-000040100000}"/>
    <cellStyle name="Normal 2 4 5 2 2 2 3 3 2" xfId="13974" xr:uid="{E92DF5CA-4CBD-4FFD-963D-B17894D3A8E1}"/>
    <cellStyle name="Normal 2 4 5 2 2 2 3 4" xfId="9756" xr:uid="{88D86F05-A4B0-40EB-8BD9-D430F45AD6B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E713AAD7-C2C5-429F-AB87-125316228207}"/>
    <cellStyle name="Normal 2 4 5 2 2 2 4 2 3" xfId="12314" xr:uid="{54E07671-F660-40D6-B962-E45D52126494}"/>
    <cellStyle name="Normal 2 4 5 2 2 2 4 3" xfId="5937" xr:uid="{00000000-0005-0000-0000-000044100000}"/>
    <cellStyle name="Normal 2 4 5 2 2 2 4 3 2" xfId="14387" xr:uid="{7C4A6D42-D758-44C5-BAE3-F7085F7E0666}"/>
    <cellStyle name="Normal 2 4 5 2 2 2 4 4" xfId="10169" xr:uid="{E83B61B8-B152-48A8-8EA6-FC96C42DF42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78C518A6-8EBA-4BB8-BCD7-C13CBBA12C8C}"/>
    <cellStyle name="Normal 2 4 5 2 2 2 5 2 3" xfId="12727" xr:uid="{FB51E6AD-1351-4420-9439-CCE6F9D22C81}"/>
    <cellStyle name="Normal 2 4 5 2 2 2 5 3" xfId="6350" xr:uid="{00000000-0005-0000-0000-000048100000}"/>
    <cellStyle name="Normal 2 4 5 2 2 2 5 3 2" xfId="14800" xr:uid="{80D52D48-2798-4976-A1F0-83FE38CF3D36}"/>
    <cellStyle name="Normal 2 4 5 2 2 2 5 4" xfId="10582" xr:uid="{7F2ABE0E-3157-4085-B300-B541F8AD24C1}"/>
    <cellStyle name="Normal 2 4 5 2 2 2 6" xfId="2480" xr:uid="{00000000-0005-0000-0000-000049100000}"/>
    <cellStyle name="Normal 2 4 5 2 2 2 6 2" xfId="6763" xr:uid="{00000000-0005-0000-0000-00004A100000}"/>
    <cellStyle name="Normal 2 4 5 2 2 2 6 2 2" xfId="15213" xr:uid="{7C3A7182-7D8D-4BE1-BC96-9545A4FF4B88}"/>
    <cellStyle name="Normal 2 4 5 2 2 2 6 3" xfId="10995" xr:uid="{83601617-5908-4E9C-9873-04A17D6FDB36}"/>
    <cellStyle name="Normal 2 4 5 2 2 2 7" xfId="4697" xr:uid="{00000000-0005-0000-0000-00004B100000}"/>
    <cellStyle name="Normal 2 4 5 2 2 2 7 2" xfId="13147" xr:uid="{21BF12E2-342F-4AB6-B756-378EE983F0EF}"/>
    <cellStyle name="Normal 2 4 5 2 2 2 8" xfId="8929" xr:uid="{7D03ED99-28AB-46C0-A571-45B384C7DA43}"/>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28DF180E-752D-4430-B243-DA39D4FAB695}"/>
    <cellStyle name="Normal 2 4 5 2 2 3 2 3" xfId="11487" xr:uid="{6C7B0B53-45AC-4E9C-8903-A32E3E9905D9}"/>
    <cellStyle name="Normal 2 4 5 2 2 3 3" xfId="5110" xr:uid="{00000000-0005-0000-0000-00004F100000}"/>
    <cellStyle name="Normal 2 4 5 2 2 3 3 2" xfId="13560" xr:uid="{9D843D09-BE53-471F-91B9-11A375CC6EFD}"/>
    <cellStyle name="Normal 2 4 5 2 2 3 4" xfId="9342" xr:uid="{679B6ACD-41CA-454D-A6A9-AA8966A35A7E}"/>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3667F2C3-C2F8-4A8D-9AA1-CF4EE267C07B}"/>
    <cellStyle name="Normal 2 4 5 2 2 4 2 3" xfId="11900" xr:uid="{C3ED1B62-8D98-4880-A1A6-31514B358549}"/>
    <cellStyle name="Normal 2 4 5 2 2 4 3" xfId="5523" xr:uid="{00000000-0005-0000-0000-000053100000}"/>
    <cellStyle name="Normal 2 4 5 2 2 4 3 2" xfId="13973" xr:uid="{EDEC051A-EB2E-4B82-9557-3269943D93C4}"/>
    <cellStyle name="Normal 2 4 5 2 2 4 4" xfId="9755" xr:uid="{D30BD09B-D668-4ADB-B6BE-090D37C4ECD6}"/>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2206E001-0D27-4FFD-BFF9-248D92C712B1}"/>
    <cellStyle name="Normal 2 4 5 2 2 5 2 3" xfId="12313" xr:uid="{61D95A9B-852E-41CE-B0E8-DCF8367C3988}"/>
    <cellStyle name="Normal 2 4 5 2 2 5 3" xfId="5936" xr:uid="{00000000-0005-0000-0000-000057100000}"/>
    <cellStyle name="Normal 2 4 5 2 2 5 3 2" xfId="14386" xr:uid="{05E99550-788B-4785-8E05-67ACEE885BD0}"/>
    <cellStyle name="Normal 2 4 5 2 2 5 4" xfId="10168" xr:uid="{BEE9479C-C033-426A-A817-C7D08EF8BDA1}"/>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AFB87231-4A84-4460-B785-8D7ABC1400BE}"/>
    <cellStyle name="Normal 2 4 5 2 2 6 2 3" xfId="12726" xr:uid="{18BD064F-5E86-48DF-90C1-948B50F1693F}"/>
    <cellStyle name="Normal 2 4 5 2 2 6 3" xfId="6349" xr:uid="{00000000-0005-0000-0000-00005B100000}"/>
    <cellStyle name="Normal 2 4 5 2 2 6 3 2" xfId="14799" xr:uid="{39BD0739-A1E2-4756-B352-0055AF9B8205}"/>
    <cellStyle name="Normal 2 4 5 2 2 6 4" xfId="10581" xr:uid="{088F28DC-231C-45FC-BAD6-2CF3DECF3830}"/>
    <cellStyle name="Normal 2 4 5 2 2 7" xfId="2479" xr:uid="{00000000-0005-0000-0000-00005C100000}"/>
    <cellStyle name="Normal 2 4 5 2 2 7 2" xfId="6762" xr:uid="{00000000-0005-0000-0000-00005D100000}"/>
    <cellStyle name="Normal 2 4 5 2 2 7 2 2" xfId="15212" xr:uid="{8B4C55C2-11D0-4DC3-8AEC-4DC87AFF2C87}"/>
    <cellStyle name="Normal 2 4 5 2 2 7 3" xfId="10994" xr:uid="{CAE511DB-2C7F-4729-A8BF-4B9CD3030F4A}"/>
    <cellStyle name="Normal 2 4 5 2 2 8" xfId="4696" xr:uid="{00000000-0005-0000-0000-00005E100000}"/>
    <cellStyle name="Normal 2 4 5 2 2 8 2" xfId="13146" xr:uid="{DA212E7A-0546-47AE-A6B4-99936E49F2B3}"/>
    <cellStyle name="Normal 2 4 5 2 2 9" xfId="8928" xr:uid="{A4BBD9DC-9858-45F1-9124-36FBB9E104E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ABD54E08-9407-431E-9397-B3C38EFFA52B}"/>
    <cellStyle name="Normal 2 4 5 2 3 2 2 3" xfId="11489" xr:uid="{28BBBF37-3883-4FB7-9B2D-5688E31F7CEA}"/>
    <cellStyle name="Normal 2 4 5 2 3 2 3" xfId="5112" xr:uid="{00000000-0005-0000-0000-000063100000}"/>
    <cellStyle name="Normal 2 4 5 2 3 2 3 2" xfId="13562" xr:uid="{569BA28D-2CAB-497F-80D5-F7A2D0ADAB56}"/>
    <cellStyle name="Normal 2 4 5 2 3 2 4" xfId="9344" xr:uid="{5D2DABA8-3812-4052-96E8-AB0C3630AF6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FF8A9DE9-F4A4-489D-8142-AC85837229DB}"/>
    <cellStyle name="Normal 2 4 5 2 3 3 2 3" xfId="11902" xr:uid="{EE1DDBD9-297A-4EE7-B55A-520E5B2FD7ED}"/>
    <cellStyle name="Normal 2 4 5 2 3 3 3" xfId="5525" xr:uid="{00000000-0005-0000-0000-000067100000}"/>
    <cellStyle name="Normal 2 4 5 2 3 3 3 2" xfId="13975" xr:uid="{3F9325DB-42C2-4783-BF5F-47E06900F2EC}"/>
    <cellStyle name="Normal 2 4 5 2 3 3 4" xfId="9757" xr:uid="{08EC837D-13C5-4928-B967-533224D077B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5C24FA2C-87BA-480F-95ED-F24088963D02}"/>
    <cellStyle name="Normal 2 4 5 2 3 4 2 3" xfId="12315" xr:uid="{D103351F-2376-4BC9-AE6B-02BACC37459A}"/>
    <cellStyle name="Normal 2 4 5 2 3 4 3" xfId="5938" xr:uid="{00000000-0005-0000-0000-00006B100000}"/>
    <cellStyle name="Normal 2 4 5 2 3 4 3 2" xfId="14388" xr:uid="{997504DC-B7B7-42CD-B6BB-8B3967EB6F2A}"/>
    <cellStyle name="Normal 2 4 5 2 3 4 4" xfId="10170" xr:uid="{F947FE33-62C1-43FC-95F1-B93BFB3F495A}"/>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57A7F66F-69A4-4BE1-8F75-860A8317E6A1}"/>
    <cellStyle name="Normal 2 4 5 2 3 5 2 3" xfId="12728" xr:uid="{95A04B9E-1A2A-4D79-9D6B-C8E74EE67959}"/>
    <cellStyle name="Normal 2 4 5 2 3 5 3" xfId="6351" xr:uid="{00000000-0005-0000-0000-00006F100000}"/>
    <cellStyle name="Normal 2 4 5 2 3 5 3 2" xfId="14801" xr:uid="{3CCF7423-E2F7-444A-95E3-441E1A3C1669}"/>
    <cellStyle name="Normal 2 4 5 2 3 5 4" xfId="10583" xr:uid="{EA650428-94EE-405F-AC67-E412AD97897A}"/>
    <cellStyle name="Normal 2 4 5 2 3 6" xfId="2481" xr:uid="{00000000-0005-0000-0000-000070100000}"/>
    <cellStyle name="Normal 2 4 5 2 3 6 2" xfId="6764" xr:uid="{00000000-0005-0000-0000-000071100000}"/>
    <cellStyle name="Normal 2 4 5 2 3 6 2 2" xfId="15214" xr:uid="{61EFCCC2-B032-41EE-BA62-A4CE41EDEC13}"/>
    <cellStyle name="Normal 2 4 5 2 3 6 3" xfId="10996" xr:uid="{FAE2837A-4562-4481-B261-903317E014C0}"/>
    <cellStyle name="Normal 2 4 5 2 3 7" xfId="4698" xr:uid="{00000000-0005-0000-0000-000072100000}"/>
    <cellStyle name="Normal 2 4 5 2 3 7 2" xfId="13148" xr:uid="{AC3D058E-97CE-48D1-A973-A175C59B2888}"/>
    <cellStyle name="Normal 2 4 5 2 3 8" xfId="8930" xr:uid="{34017D0A-F89C-448F-8F67-D335A344BAB6}"/>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48B631B8-48CB-404A-B49D-5EF66D8CAA92}"/>
    <cellStyle name="Normal 2 4 5 2 4 2 3" xfId="11486" xr:uid="{2274D22E-16C8-445A-963B-5474A18D2F46}"/>
    <cellStyle name="Normal 2 4 5 2 4 3" xfId="5109" xr:uid="{00000000-0005-0000-0000-000076100000}"/>
    <cellStyle name="Normal 2 4 5 2 4 3 2" xfId="13559" xr:uid="{F7301221-F539-47E9-8CD6-AEA94EBC7B4F}"/>
    <cellStyle name="Normal 2 4 5 2 4 4" xfId="9341" xr:uid="{3D88637D-0D4B-4666-BD8A-33F2F8F5D0DA}"/>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FE854964-2CC3-41B6-AB21-6F1E4D74D705}"/>
    <cellStyle name="Normal 2 4 5 2 5 2 3" xfId="11899" xr:uid="{5C711EDA-24C6-4EC8-82D8-6B65BF05C6FC}"/>
    <cellStyle name="Normal 2 4 5 2 5 3" xfId="5522" xr:uid="{00000000-0005-0000-0000-00007A100000}"/>
    <cellStyle name="Normal 2 4 5 2 5 3 2" xfId="13972" xr:uid="{1E6D5946-FEB8-4843-B071-9DA537F4211E}"/>
    <cellStyle name="Normal 2 4 5 2 5 4" xfId="9754" xr:uid="{354D7344-D782-4207-B0A4-54A6BB0404A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1D64D703-90D8-477A-B6D3-27BB65CED5E8}"/>
    <cellStyle name="Normal 2 4 5 2 6 2 3" xfId="12312" xr:uid="{19A6C78D-6BE2-4D8B-8BCE-C56EB613D1B5}"/>
    <cellStyle name="Normal 2 4 5 2 6 3" xfId="5935" xr:uid="{00000000-0005-0000-0000-00007E100000}"/>
    <cellStyle name="Normal 2 4 5 2 6 3 2" xfId="14385" xr:uid="{046A7303-FD08-48F1-ABE0-D485BF1B7894}"/>
    <cellStyle name="Normal 2 4 5 2 6 4" xfId="10167" xr:uid="{F21E326A-5C15-44E2-B4F7-04A5BBBD8399}"/>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1B1937F0-1161-4F91-A7D8-DDAABFC7F899}"/>
    <cellStyle name="Normal 2 4 5 2 7 2 3" xfId="12725" xr:uid="{6F501CC5-F110-4E58-AA30-78AD6F5C873B}"/>
    <cellStyle name="Normal 2 4 5 2 7 3" xfId="6348" xr:uid="{00000000-0005-0000-0000-000082100000}"/>
    <cellStyle name="Normal 2 4 5 2 7 3 2" xfId="14798" xr:uid="{FE4B9713-4623-4A05-900A-9F17D6AFB472}"/>
    <cellStyle name="Normal 2 4 5 2 7 4" xfId="10580" xr:uid="{82C5141C-DE31-44D4-A1C9-8171A37A84CE}"/>
    <cellStyle name="Normal 2 4 5 2 8" xfId="2478" xr:uid="{00000000-0005-0000-0000-000083100000}"/>
    <cellStyle name="Normal 2 4 5 2 8 2" xfId="6761" xr:uid="{00000000-0005-0000-0000-000084100000}"/>
    <cellStyle name="Normal 2 4 5 2 8 2 2" xfId="15211" xr:uid="{D71A4FE8-76C3-44B8-9BC8-8EEDB5F95C24}"/>
    <cellStyle name="Normal 2 4 5 2 8 3" xfId="10993" xr:uid="{7C9FDE47-B1FA-47F1-ABF9-520A6AB30ECF}"/>
    <cellStyle name="Normal 2 4 5 2 9" xfId="4695" xr:uid="{00000000-0005-0000-0000-000085100000}"/>
    <cellStyle name="Normal 2 4 5 2 9 2" xfId="13145" xr:uid="{9F19D86E-817C-48B2-B950-602157E8B837}"/>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2FDE48A5-B934-45BE-BE97-E4BF43BA8AC2}"/>
    <cellStyle name="Normal 2 4 5 3 2 2 2 3" xfId="11491" xr:uid="{51510C22-5FCF-414B-881F-A8CBDFA7015B}"/>
    <cellStyle name="Normal 2 4 5 3 2 2 3" xfId="5114" xr:uid="{00000000-0005-0000-0000-00008B100000}"/>
    <cellStyle name="Normal 2 4 5 3 2 2 3 2" xfId="13564" xr:uid="{D7E783DD-21AF-4FF1-B879-13BC3700F4AD}"/>
    <cellStyle name="Normal 2 4 5 3 2 2 4" xfId="9346" xr:uid="{CC9751E1-3156-4181-BBCC-413044F08DC8}"/>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A76F32EA-6F7C-4925-83AC-61038F70F520}"/>
    <cellStyle name="Normal 2 4 5 3 2 3 2 3" xfId="11904" xr:uid="{DFF2DF47-E795-4BFB-8562-370390B5D5BE}"/>
    <cellStyle name="Normal 2 4 5 3 2 3 3" xfId="5527" xr:uid="{00000000-0005-0000-0000-00008F100000}"/>
    <cellStyle name="Normal 2 4 5 3 2 3 3 2" xfId="13977" xr:uid="{83167358-9878-41E6-BBB9-D0319065701B}"/>
    <cellStyle name="Normal 2 4 5 3 2 3 4" xfId="9759" xr:uid="{CF5CBD94-9C96-4802-96FE-38051EC9720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7611F68B-E236-4EA4-AAB0-0A9076FAB4E8}"/>
    <cellStyle name="Normal 2 4 5 3 2 4 2 3" xfId="12317" xr:uid="{1C70426C-035D-4C0C-94D3-9279345B0802}"/>
    <cellStyle name="Normal 2 4 5 3 2 4 3" xfId="5940" xr:uid="{00000000-0005-0000-0000-000093100000}"/>
    <cellStyle name="Normal 2 4 5 3 2 4 3 2" xfId="14390" xr:uid="{4540F88C-BD5A-4082-8B94-DC0339D62DAB}"/>
    <cellStyle name="Normal 2 4 5 3 2 4 4" xfId="10172" xr:uid="{7557FD41-68D1-4697-B59F-7A95FED2122E}"/>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B17DBE89-3F45-4BB4-89CF-1048708B622E}"/>
    <cellStyle name="Normal 2 4 5 3 2 5 2 3" xfId="12730" xr:uid="{4EA715CF-6E40-4E00-9C4E-5FBE7499B16E}"/>
    <cellStyle name="Normal 2 4 5 3 2 5 3" xfId="6353" xr:uid="{00000000-0005-0000-0000-000097100000}"/>
    <cellStyle name="Normal 2 4 5 3 2 5 3 2" xfId="14803" xr:uid="{7EB3BCEF-F09A-4626-A66C-EC09FB7267EE}"/>
    <cellStyle name="Normal 2 4 5 3 2 5 4" xfId="10585" xr:uid="{C65347B3-BCE1-423E-BC83-D71C0ECD9F7C}"/>
    <cellStyle name="Normal 2 4 5 3 2 6" xfId="2483" xr:uid="{00000000-0005-0000-0000-000098100000}"/>
    <cellStyle name="Normal 2 4 5 3 2 6 2" xfId="6766" xr:uid="{00000000-0005-0000-0000-000099100000}"/>
    <cellStyle name="Normal 2 4 5 3 2 6 2 2" xfId="15216" xr:uid="{36DFAB8D-B09B-4A38-AB84-58E75E4BE00F}"/>
    <cellStyle name="Normal 2 4 5 3 2 6 3" xfId="10998" xr:uid="{BD53428C-52DD-414B-A584-C7BD04FFDF3A}"/>
    <cellStyle name="Normal 2 4 5 3 2 7" xfId="4700" xr:uid="{00000000-0005-0000-0000-00009A100000}"/>
    <cellStyle name="Normal 2 4 5 3 2 7 2" xfId="13150" xr:uid="{AC703893-5AB9-499C-9383-3C4BAB321F73}"/>
    <cellStyle name="Normal 2 4 5 3 2 8" xfId="8932" xr:uid="{F6BDFCDF-EB59-48C8-9FC6-43920101D61D}"/>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98C7EAB0-ADF9-4610-8631-0319A965AF79}"/>
    <cellStyle name="Normal 2 4 5 3 3 2 3" xfId="11490" xr:uid="{51E1DD49-42B3-469C-AC16-2607F273B743}"/>
    <cellStyle name="Normal 2 4 5 3 3 3" xfId="5113" xr:uid="{00000000-0005-0000-0000-00009E100000}"/>
    <cellStyle name="Normal 2 4 5 3 3 3 2" xfId="13563" xr:uid="{D4853302-B1A5-49E2-AEC8-95284D4FD93B}"/>
    <cellStyle name="Normal 2 4 5 3 3 4" xfId="9345" xr:uid="{121B6DA5-876C-4529-B50F-878BF8B7168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3F4E406C-70B9-4FD9-8DAB-9920E358AEB3}"/>
    <cellStyle name="Normal 2 4 5 3 4 2 3" xfId="11903" xr:uid="{92151D7A-EFB2-482F-BBF4-E73FC6A1F677}"/>
    <cellStyle name="Normal 2 4 5 3 4 3" xfId="5526" xr:uid="{00000000-0005-0000-0000-0000A2100000}"/>
    <cellStyle name="Normal 2 4 5 3 4 3 2" xfId="13976" xr:uid="{009C4A43-9CD3-42BC-B89C-79BD30A5463D}"/>
    <cellStyle name="Normal 2 4 5 3 4 4" xfId="9758" xr:uid="{A533993C-FC10-47D9-9019-5CB0E8DA4368}"/>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6769B885-F051-41E9-AD3A-9C97C61F4859}"/>
    <cellStyle name="Normal 2 4 5 3 5 2 3" xfId="12316" xr:uid="{E156CA89-BDE4-4903-8850-AEC76CB12DA3}"/>
    <cellStyle name="Normal 2 4 5 3 5 3" xfId="5939" xr:uid="{00000000-0005-0000-0000-0000A6100000}"/>
    <cellStyle name="Normal 2 4 5 3 5 3 2" xfId="14389" xr:uid="{ADB172A7-5375-477C-A451-6F4E0FB5FC40}"/>
    <cellStyle name="Normal 2 4 5 3 5 4" xfId="10171" xr:uid="{F55B003F-EAEC-437B-8313-B9EC79157937}"/>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F03DFE22-E778-4530-B57F-1139C8EEDD3D}"/>
    <cellStyle name="Normal 2 4 5 3 6 2 3" xfId="12729" xr:uid="{0CAC2C5A-714F-44CC-9476-B54C1A890D48}"/>
    <cellStyle name="Normal 2 4 5 3 6 3" xfId="6352" xr:uid="{00000000-0005-0000-0000-0000AA100000}"/>
    <cellStyle name="Normal 2 4 5 3 6 3 2" xfId="14802" xr:uid="{FD3381A9-0049-41F4-AAD0-E3ABAD67C6C5}"/>
    <cellStyle name="Normal 2 4 5 3 6 4" xfId="10584" xr:uid="{792BCED0-E833-4882-B116-BA4C1CCA6C80}"/>
    <cellStyle name="Normal 2 4 5 3 7" xfId="2482" xr:uid="{00000000-0005-0000-0000-0000AB100000}"/>
    <cellStyle name="Normal 2 4 5 3 7 2" xfId="6765" xr:uid="{00000000-0005-0000-0000-0000AC100000}"/>
    <cellStyle name="Normal 2 4 5 3 7 2 2" xfId="15215" xr:uid="{DE1C87DD-89D4-4AF2-831F-97036C72E9D5}"/>
    <cellStyle name="Normal 2 4 5 3 7 3" xfId="10997" xr:uid="{AFD481D3-53BE-48FA-8D76-A265996C86B4}"/>
    <cellStyle name="Normal 2 4 5 3 8" xfId="4699" xr:uid="{00000000-0005-0000-0000-0000AD100000}"/>
    <cellStyle name="Normal 2 4 5 3 8 2" xfId="13149" xr:uid="{FFD068FA-7426-483B-A7D2-D559D4821576}"/>
    <cellStyle name="Normal 2 4 5 3 9" xfId="8931" xr:uid="{BBF204E3-239E-4865-A439-18813815C84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7267D739-8D6E-4490-A1B0-25696585D252}"/>
    <cellStyle name="Normal 2 4 5 4 2 2 3" xfId="11492" xr:uid="{861DC25B-B3E4-4E2E-9950-89B4DF71AE09}"/>
    <cellStyle name="Normal 2 4 5 4 2 3" xfId="5115" xr:uid="{00000000-0005-0000-0000-0000B2100000}"/>
    <cellStyle name="Normal 2 4 5 4 2 3 2" xfId="13565" xr:uid="{20F5BDAE-A906-40F7-A11A-DA2C31C92C3E}"/>
    <cellStyle name="Normal 2 4 5 4 2 4" xfId="9347" xr:uid="{171E1561-3CA6-4284-B740-7036B0199DC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CA359E99-9FD2-4183-80FF-3D1FE93C1C43}"/>
    <cellStyle name="Normal 2 4 5 4 3 2 3" xfId="11905" xr:uid="{A239C51C-3F16-4515-9F26-C9FEA14BC1D5}"/>
    <cellStyle name="Normal 2 4 5 4 3 3" xfId="5528" xr:uid="{00000000-0005-0000-0000-0000B6100000}"/>
    <cellStyle name="Normal 2 4 5 4 3 3 2" xfId="13978" xr:uid="{8DADFF5B-34ED-4562-A1FA-8ADE8CFF96A1}"/>
    <cellStyle name="Normal 2 4 5 4 3 4" xfId="9760" xr:uid="{CEBEDF91-F84F-4946-8999-1C12BDB49BFF}"/>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FDDBA317-5BFD-4528-AE75-86CE31AA0E1C}"/>
    <cellStyle name="Normal 2 4 5 4 4 2 3" xfId="12318" xr:uid="{80BA23D9-2459-4FE6-9BB2-6B7F843C9680}"/>
    <cellStyle name="Normal 2 4 5 4 4 3" xfId="5941" xr:uid="{00000000-0005-0000-0000-0000BA100000}"/>
    <cellStyle name="Normal 2 4 5 4 4 3 2" xfId="14391" xr:uid="{432EFCB0-83ED-4C8F-957A-546CC850A910}"/>
    <cellStyle name="Normal 2 4 5 4 4 4" xfId="10173" xr:uid="{73BAD261-445B-4F5A-884E-964C9730501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3C6E919C-AF34-4929-ADE3-7D820EF732E7}"/>
    <cellStyle name="Normal 2 4 5 4 5 2 3" xfId="12731" xr:uid="{85C48C6E-2D52-414B-816D-20C014A9EF1E}"/>
    <cellStyle name="Normal 2 4 5 4 5 3" xfId="6354" xr:uid="{00000000-0005-0000-0000-0000BE100000}"/>
    <cellStyle name="Normal 2 4 5 4 5 3 2" xfId="14804" xr:uid="{799F1A2E-7C2C-4988-B995-DDCA5F60C3D2}"/>
    <cellStyle name="Normal 2 4 5 4 5 4" xfId="10586" xr:uid="{4DFEDBE7-1728-40E1-B0CE-1D9B105B2440}"/>
    <cellStyle name="Normal 2 4 5 4 6" xfId="2484" xr:uid="{00000000-0005-0000-0000-0000BF100000}"/>
    <cellStyle name="Normal 2 4 5 4 6 2" xfId="6767" xr:uid="{00000000-0005-0000-0000-0000C0100000}"/>
    <cellStyle name="Normal 2 4 5 4 6 2 2" xfId="15217" xr:uid="{71160DD8-3885-413E-84F6-0BB3F662160D}"/>
    <cellStyle name="Normal 2 4 5 4 6 3" xfId="10999" xr:uid="{4863600A-1C0B-48F9-AD10-98E47FD20275}"/>
    <cellStyle name="Normal 2 4 5 4 7" xfId="4701" xr:uid="{00000000-0005-0000-0000-0000C1100000}"/>
    <cellStyle name="Normal 2 4 5 4 7 2" xfId="13151" xr:uid="{03BA5195-9C66-48CF-9719-3A7F7FBC673A}"/>
    <cellStyle name="Normal 2 4 5 4 8" xfId="8933" xr:uid="{8FF55B09-1583-4B18-B246-A27C4A6A694A}"/>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00F66082-4B14-4E99-B5F6-9EA19EC931E9}"/>
    <cellStyle name="Normal 2 4 5 5 2 3" xfId="11485" xr:uid="{AD12CC94-EDD2-4C25-8964-CB032BB9CA4D}"/>
    <cellStyle name="Normal 2 4 5 5 3" xfId="5108" xr:uid="{00000000-0005-0000-0000-0000C5100000}"/>
    <cellStyle name="Normal 2 4 5 5 3 2" xfId="13558" xr:uid="{566EE541-B10A-46CF-96A4-0F139D90C54E}"/>
    <cellStyle name="Normal 2 4 5 5 4" xfId="9340" xr:uid="{CD1FD736-F40A-42FA-82F1-855A0C782501}"/>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0D3A0A6F-D61D-4529-9D2D-44EE62A72832}"/>
    <cellStyle name="Normal 2 4 5 6 2 3" xfId="11898" xr:uid="{89BCFAED-3317-4F65-8D44-A759E58D0C6D}"/>
    <cellStyle name="Normal 2 4 5 6 3" xfId="5521" xr:uid="{00000000-0005-0000-0000-0000C9100000}"/>
    <cellStyle name="Normal 2 4 5 6 3 2" xfId="13971" xr:uid="{4FA5DC97-4069-44DB-981B-22125F251E90}"/>
    <cellStyle name="Normal 2 4 5 6 4" xfId="9753" xr:uid="{BCF1F9A6-8629-451A-8AA0-3DD9DBD8F423}"/>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EBF404BF-4D5E-4AC1-8C3B-0A4CB7290C0F}"/>
    <cellStyle name="Normal 2 4 5 7 2 3" xfId="12311" xr:uid="{A2F70C4A-1612-48BE-82BD-69DCEF598975}"/>
    <cellStyle name="Normal 2 4 5 7 3" xfId="5934" xr:uid="{00000000-0005-0000-0000-0000CD100000}"/>
    <cellStyle name="Normal 2 4 5 7 3 2" xfId="14384" xr:uid="{859716B5-912C-40D5-9966-A593C75C10F0}"/>
    <cellStyle name="Normal 2 4 5 7 4" xfId="10166" xr:uid="{C187791F-D9F4-4C68-98B6-2241B1A0BDD6}"/>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BA4CC467-473F-419B-AC85-0C680101FA53}"/>
    <cellStyle name="Normal 2 4 5 8 2 3" xfId="12724" xr:uid="{F4E2FC9B-4E00-4CE0-A6F8-A46057FD2F63}"/>
    <cellStyle name="Normal 2 4 5 8 3" xfId="6347" xr:uid="{00000000-0005-0000-0000-0000D1100000}"/>
    <cellStyle name="Normal 2 4 5 8 3 2" xfId="14797" xr:uid="{AAA56073-0FF1-4C25-BE70-83BAA722C130}"/>
    <cellStyle name="Normal 2 4 5 8 4" xfId="10579" xr:uid="{C7522C25-E6D7-48ED-A4A0-2A7493A4E7F9}"/>
    <cellStyle name="Normal 2 4 5 9" xfId="2477" xr:uid="{00000000-0005-0000-0000-0000D2100000}"/>
    <cellStyle name="Normal 2 4 5 9 2" xfId="6760" xr:uid="{00000000-0005-0000-0000-0000D3100000}"/>
    <cellStyle name="Normal 2 4 5 9 2 2" xfId="15210" xr:uid="{0C927B77-B6C3-4CC8-9E9E-0665712D076F}"/>
    <cellStyle name="Normal 2 4 5 9 3" xfId="10992" xr:uid="{2BD67464-3816-4F34-BBE9-B8AEA74057CC}"/>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114649ED-25C2-4083-A7B8-0FB5A981B588}"/>
    <cellStyle name="Normal 2 4 7 2 2 2 3" xfId="11494" xr:uid="{FC2BD550-907B-49B1-976B-914CEB28C04A}"/>
    <cellStyle name="Normal 2 4 7 2 2 3" xfId="5117" xr:uid="{00000000-0005-0000-0000-0000DA100000}"/>
    <cellStyle name="Normal 2 4 7 2 2 3 2" xfId="13567" xr:uid="{D9BD95AB-948E-475F-9854-E32D412831B3}"/>
    <cellStyle name="Normal 2 4 7 2 2 4" xfId="9349" xr:uid="{C80F03C0-A151-4057-900F-D032B58C4D91}"/>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AF6E92DC-4964-4D23-8B31-CEDE5D576CD6}"/>
    <cellStyle name="Normal 2 4 7 2 3 2 3" xfId="11907" xr:uid="{A39AD4BA-0E8E-4D0B-9775-DFE058FBEFFD}"/>
    <cellStyle name="Normal 2 4 7 2 3 3" xfId="5530" xr:uid="{00000000-0005-0000-0000-0000DE100000}"/>
    <cellStyle name="Normal 2 4 7 2 3 3 2" xfId="13980" xr:uid="{8752F535-415E-4A91-A343-46277A691C68}"/>
    <cellStyle name="Normal 2 4 7 2 3 4" xfId="9762" xr:uid="{DB731591-6A55-4C60-92FA-936FC9B39269}"/>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25D4B290-F1B2-49FA-923D-2CED974554F4}"/>
    <cellStyle name="Normal 2 4 7 2 4 2 3" xfId="12320" xr:uid="{D323A0A4-ED83-4C4B-9ADA-CCCE37265819}"/>
    <cellStyle name="Normal 2 4 7 2 4 3" xfId="5943" xr:uid="{00000000-0005-0000-0000-0000E2100000}"/>
    <cellStyle name="Normal 2 4 7 2 4 3 2" xfId="14393" xr:uid="{23CE92A4-5226-437B-A16F-997AA94D5FF4}"/>
    <cellStyle name="Normal 2 4 7 2 4 4" xfId="10175" xr:uid="{61C4B0FB-6713-4F33-ABBD-BDA06F56CD7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537567E6-7AF9-449D-B6BB-1C1FE45C068A}"/>
    <cellStyle name="Normal 2 4 7 2 5 2 3" xfId="12733" xr:uid="{C925017F-05D7-46D7-89CB-7E45AD372CB5}"/>
    <cellStyle name="Normal 2 4 7 2 5 3" xfId="6356" xr:uid="{00000000-0005-0000-0000-0000E6100000}"/>
    <cellStyle name="Normal 2 4 7 2 5 3 2" xfId="14806" xr:uid="{726AE710-F24D-4E96-A8F7-F2DC5A8FD31A}"/>
    <cellStyle name="Normal 2 4 7 2 5 4" xfId="10588" xr:uid="{F7E5F11A-5B48-47A0-802D-0F6B4352F2AE}"/>
    <cellStyle name="Normal 2 4 7 2 6" xfId="2486" xr:uid="{00000000-0005-0000-0000-0000E7100000}"/>
    <cellStyle name="Normal 2 4 7 2 6 2" xfId="6769" xr:uid="{00000000-0005-0000-0000-0000E8100000}"/>
    <cellStyle name="Normal 2 4 7 2 6 2 2" xfId="15219" xr:uid="{95F2A8E7-B797-4977-8222-011BA857D932}"/>
    <cellStyle name="Normal 2 4 7 2 6 3" xfId="11001" xr:uid="{6202E908-DA26-4C19-A7F3-C67C9070FB05}"/>
    <cellStyle name="Normal 2 4 7 2 7" xfId="4703" xr:uid="{00000000-0005-0000-0000-0000E9100000}"/>
    <cellStyle name="Normal 2 4 7 2 7 2" xfId="13153" xr:uid="{2E7794B6-2316-46A7-B9ED-3D618176CEC1}"/>
    <cellStyle name="Normal 2 4 7 2 8" xfId="8935" xr:uid="{7AB84027-C736-4EEF-A4CB-F29999B2EDBB}"/>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4AD2D616-F635-430C-8A8E-00EBC9C2F979}"/>
    <cellStyle name="Normal 2 4 7 3 2 3" xfId="11493" xr:uid="{DBFB5221-28BA-47E1-8CB0-F0732EF57B56}"/>
    <cellStyle name="Normal 2 4 7 3 3" xfId="5116" xr:uid="{00000000-0005-0000-0000-0000ED100000}"/>
    <cellStyle name="Normal 2 4 7 3 3 2" xfId="13566" xr:uid="{FC08CA90-FBA5-4771-AEE2-B903041AF462}"/>
    <cellStyle name="Normal 2 4 7 3 4" xfId="9348" xr:uid="{856DF703-1FAB-4AF8-AFFF-5F4616EAB22B}"/>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F1CA7D90-247B-47AC-94C0-7E462CC6A5A8}"/>
    <cellStyle name="Normal 2 4 7 4 2 3" xfId="11906" xr:uid="{274651DC-3297-4AAB-8845-716B30E82F31}"/>
    <cellStyle name="Normal 2 4 7 4 3" xfId="5529" xr:uid="{00000000-0005-0000-0000-0000F1100000}"/>
    <cellStyle name="Normal 2 4 7 4 3 2" xfId="13979" xr:uid="{EA13148E-F5CE-4505-AFAC-5C50478FB049}"/>
    <cellStyle name="Normal 2 4 7 4 4" xfId="9761" xr:uid="{6DFC2996-5704-40F5-B7AB-0D3CA35B08F3}"/>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1F80DC66-6CA0-4E3F-8097-4FCD03D9FC46}"/>
    <cellStyle name="Normal 2 4 7 5 2 3" xfId="12319" xr:uid="{78D0082E-2F61-4394-8927-3BCC9FDC52AA}"/>
    <cellStyle name="Normal 2 4 7 5 3" xfId="5942" xr:uid="{00000000-0005-0000-0000-0000F5100000}"/>
    <cellStyle name="Normal 2 4 7 5 3 2" xfId="14392" xr:uid="{602A909F-FCE0-499D-BA89-56E4ACBE109B}"/>
    <cellStyle name="Normal 2 4 7 5 4" xfId="10174" xr:uid="{E59DE5FA-70FE-45BA-AA79-2896D3D7525D}"/>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DC0B7E2D-FBC2-4018-81DC-ACC2084C5AF0}"/>
    <cellStyle name="Normal 2 4 7 6 2 3" xfId="12732" xr:uid="{5A823194-D551-42D3-B00C-55BCF4FBD390}"/>
    <cellStyle name="Normal 2 4 7 6 3" xfId="6355" xr:uid="{00000000-0005-0000-0000-0000F9100000}"/>
    <cellStyle name="Normal 2 4 7 6 3 2" xfId="14805" xr:uid="{C41AF4C0-4EBC-4D6F-9F09-90889E9A1DFF}"/>
    <cellStyle name="Normal 2 4 7 6 4" xfId="10587" xr:uid="{10CA4CD3-5B60-4766-9573-01A5276715A5}"/>
    <cellStyle name="Normal 2 4 7 7" xfId="2485" xr:uid="{00000000-0005-0000-0000-0000FA100000}"/>
    <cellStyle name="Normal 2 4 7 7 2" xfId="6768" xr:uid="{00000000-0005-0000-0000-0000FB100000}"/>
    <cellStyle name="Normal 2 4 7 7 2 2" xfId="15218" xr:uid="{618ACBFE-1967-4A24-BE99-CF4689513705}"/>
    <cellStyle name="Normal 2 4 7 7 3" xfId="11000" xr:uid="{741FE813-5B98-464E-AEBA-B34D7273C881}"/>
    <cellStyle name="Normal 2 4 7 8" xfId="4702" xr:uid="{00000000-0005-0000-0000-0000FC100000}"/>
    <cellStyle name="Normal 2 4 7 8 2" xfId="13152" xr:uid="{E88A6322-8AC7-404B-855F-1413F1A2019C}"/>
    <cellStyle name="Normal 2 4 7 9" xfId="8934" xr:uid="{B55938E7-55C6-4EC7-AF3D-0C07C40FE137}"/>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26EA5EF2-4151-466F-828D-F6CA349D7B4B}"/>
    <cellStyle name="Normal 2 4 8 2 2 3" xfId="11495" xr:uid="{FD85F101-C738-44DE-98AF-086DE733CA8B}"/>
    <cellStyle name="Normal 2 4 8 2 3" xfId="5118" xr:uid="{00000000-0005-0000-0000-000001110000}"/>
    <cellStyle name="Normal 2 4 8 2 3 2" xfId="13568" xr:uid="{5DA46EE5-6F11-49C5-AADB-13D52AA92CC4}"/>
    <cellStyle name="Normal 2 4 8 2 4" xfId="9350" xr:uid="{4632C9A9-35CF-4925-AFA3-780DCC8A00EE}"/>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ECB646D8-47BD-4615-9F9F-C7460705F2B6}"/>
    <cellStyle name="Normal 2 4 8 3 2 3" xfId="11908" xr:uid="{E83DFB40-DA41-441B-AD06-6519D0FE519A}"/>
    <cellStyle name="Normal 2 4 8 3 3" xfId="5531" xr:uid="{00000000-0005-0000-0000-000005110000}"/>
    <cellStyle name="Normal 2 4 8 3 3 2" xfId="13981" xr:uid="{3ABF87F5-DDD3-4348-9D94-5138EA9E8096}"/>
    <cellStyle name="Normal 2 4 8 3 4" xfId="9763" xr:uid="{7D63CCBF-33C2-4F35-A149-3496F2E31713}"/>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564FE59A-6762-4272-BF9B-553BACD544CA}"/>
    <cellStyle name="Normal 2 4 8 4 2 3" xfId="12321" xr:uid="{A041CFBB-4FE4-4767-AD75-45D7C94DE7C9}"/>
    <cellStyle name="Normal 2 4 8 4 3" xfId="5944" xr:uid="{00000000-0005-0000-0000-000009110000}"/>
    <cellStyle name="Normal 2 4 8 4 3 2" xfId="14394" xr:uid="{47215D0B-6546-4AC7-92AD-58B765BA42D7}"/>
    <cellStyle name="Normal 2 4 8 4 4" xfId="10176" xr:uid="{F45243B3-5D97-4B18-8665-80B345D519B3}"/>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471FC5B1-6C07-4471-93F4-334FB63FE008}"/>
    <cellStyle name="Normal 2 4 8 5 2 3" xfId="12734" xr:uid="{6ECCA902-B5DA-4844-9E47-86097BCE89BB}"/>
    <cellStyle name="Normal 2 4 8 5 3" xfId="6357" xr:uid="{00000000-0005-0000-0000-00000D110000}"/>
    <cellStyle name="Normal 2 4 8 5 3 2" xfId="14807" xr:uid="{3CEBFB58-0721-4D81-94C0-9E902A05D73B}"/>
    <cellStyle name="Normal 2 4 8 5 4" xfId="10589" xr:uid="{D921D44A-90B0-41C7-B69B-8D526D7F277D}"/>
    <cellStyle name="Normal 2 4 8 6" xfId="2487" xr:uid="{00000000-0005-0000-0000-00000E110000}"/>
    <cellStyle name="Normal 2 4 8 6 2" xfId="6770" xr:uid="{00000000-0005-0000-0000-00000F110000}"/>
    <cellStyle name="Normal 2 4 8 6 2 2" xfId="15220" xr:uid="{9381B36F-ABA4-4A1A-BB3A-008DD5540DB4}"/>
    <cellStyle name="Normal 2 4 8 6 3" xfId="11002" xr:uid="{2D6D9D2E-0FD8-4435-B7AA-BECC7DAF3D90}"/>
    <cellStyle name="Normal 2 4 8 7" xfId="4704" xr:uid="{00000000-0005-0000-0000-000010110000}"/>
    <cellStyle name="Normal 2 4 8 7 2" xfId="13154" xr:uid="{7BE8CC79-8A49-477E-9464-977B6EADA9A0}"/>
    <cellStyle name="Normal 2 4 8 8" xfId="8936" xr:uid="{085A6666-8C30-4D2C-8D19-C5F2339E2D52}"/>
    <cellStyle name="Normal 2 5" xfId="315" xr:uid="{00000000-0005-0000-0000-000011110000}"/>
    <cellStyle name="Normal 2 5 10" xfId="4705" xr:uid="{00000000-0005-0000-0000-000012110000}"/>
    <cellStyle name="Normal 2 5 10 2" xfId="13155" xr:uid="{E5326445-DF94-4501-B8AA-8F785C6FCA95}"/>
    <cellStyle name="Normal 2 5 11" xfId="8937" xr:uid="{7C35F71C-62ED-4D3E-93C1-287BEDCCEA0D}"/>
    <cellStyle name="Normal 2 5 2" xfId="316" xr:uid="{00000000-0005-0000-0000-000013110000}"/>
    <cellStyle name="Normal 2 5 3" xfId="317" xr:uid="{00000000-0005-0000-0000-000014110000}"/>
    <cellStyle name="Normal 2 5 4" xfId="318" xr:uid="{00000000-0005-0000-0000-000015110000}"/>
    <cellStyle name="Normal 2 5 4 10" xfId="8938" xr:uid="{2FF96EDA-50A1-46B6-8C2B-0B46ECB93A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067BE176-A1C1-4276-B4A3-2CE1F45E5DA4}"/>
    <cellStyle name="Normal 2 5 4 2 2 2 2 3" xfId="11499" xr:uid="{CA8CF12A-5CB5-4BEA-A813-DD911D04B6C5}"/>
    <cellStyle name="Normal 2 5 4 2 2 2 3" xfId="5122" xr:uid="{00000000-0005-0000-0000-00001B110000}"/>
    <cellStyle name="Normal 2 5 4 2 2 2 3 2" xfId="13572" xr:uid="{6AA5A260-8F08-4C2F-B702-E21688B89544}"/>
    <cellStyle name="Normal 2 5 4 2 2 2 4" xfId="9354" xr:uid="{06504457-0FDA-45CB-9032-2CB4D01B16D2}"/>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5806A3C7-3FCE-407D-89A4-51BE2C71F882}"/>
    <cellStyle name="Normal 2 5 4 2 2 3 2 3" xfId="11912" xr:uid="{B6E3A147-5803-42A8-9E88-A475238E88AB}"/>
    <cellStyle name="Normal 2 5 4 2 2 3 3" xfId="5535" xr:uid="{00000000-0005-0000-0000-00001F110000}"/>
    <cellStyle name="Normal 2 5 4 2 2 3 3 2" xfId="13985" xr:uid="{82691CEB-69CF-4D82-B05D-F566EDCD81AD}"/>
    <cellStyle name="Normal 2 5 4 2 2 3 4" xfId="9767" xr:uid="{E5FFCB75-3DF3-403E-B50E-7264D91A41AB}"/>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416D61E8-EC2E-4ECA-81FF-85AADEA43DC9}"/>
    <cellStyle name="Normal 2 5 4 2 2 4 2 3" xfId="12325" xr:uid="{69C21105-F9BB-4006-951E-7D8A5B0FCEBC}"/>
    <cellStyle name="Normal 2 5 4 2 2 4 3" xfId="5948" xr:uid="{00000000-0005-0000-0000-000023110000}"/>
    <cellStyle name="Normal 2 5 4 2 2 4 3 2" xfId="14398" xr:uid="{7CC2946A-B1A1-4148-B95F-5C4365B43432}"/>
    <cellStyle name="Normal 2 5 4 2 2 4 4" xfId="10180" xr:uid="{4D8E92F0-0EAF-4A93-890F-89BE5E7BF90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4262CEA-46FA-4BD2-B443-BCA373CB6A79}"/>
    <cellStyle name="Normal 2 5 4 2 2 5 2 3" xfId="12738" xr:uid="{A43BB318-B75E-4160-83A7-730B7F5C91BC}"/>
    <cellStyle name="Normal 2 5 4 2 2 5 3" xfId="6361" xr:uid="{00000000-0005-0000-0000-000027110000}"/>
    <cellStyle name="Normal 2 5 4 2 2 5 3 2" xfId="14811" xr:uid="{1D7B20E4-9EEB-457C-A648-7ED092008934}"/>
    <cellStyle name="Normal 2 5 4 2 2 5 4" xfId="10593" xr:uid="{C2405081-A435-4D29-880A-DE4C2ADE2977}"/>
    <cellStyle name="Normal 2 5 4 2 2 6" xfId="2491" xr:uid="{00000000-0005-0000-0000-000028110000}"/>
    <cellStyle name="Normal 2 5 4 2 2 6 2" xfId="6774" xr:uid="{00000000-0005-0000-0000-000029110000}"/>
    <cellStyle name="Normal 2 5 4 2 2 6 2 2" xfId="15224" xr:uid="{2BD45754-B6BA-44F4-B6D5-76605F2AAED7}"/>
    <cellStyle name="Normal 2 5 4 2 2 6 3" xfId="11006" xr:uid="{F164F47D-79AE-46BE-8F39-1A7C3E853E03}"/>
    <cellStyle name="Normal 2 5 4 2 2 7" xfId="4708" xr:uid="{00000000-0005-0000-0000-00002A110000}"/>
    <cellStyle name="Normal 2 5 4 2 2 7 2" xfId="13158" xr:uid="{6811BF91-0EE0-48FE-B32C-3EB769996289}"/>
    <cellStyle name="Normal 2 5 4 2 2 8" xfId="8940" xr:uid="{A339B138-C67E-44DC-A9C2-1ABC4027BA1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4B029E5F-91C7-4C79-AA28-81BA6596B5E1}"/>
    <cellStyle name="Normal 2 5 4 2 3 2 3" xfId="11498" xr:uid="{2B1BFDCF-797E-4887-A1DE-2E6E8728EB5E}"/>
    <cellStyle name="Normal 2 5 4 2 3 3" xfId="5121" xr:uid="{00000000-0005-0000-0000-00002E110000}"/>
    <cellStyle name="Normal 2 5 4 2 3 3 2" xfId="13571" xr:uid="{EB1225FF-0770-45A0-BD19-E80A1FD50040}"/>
    <cellStyle name="Normal 2 5 4 2 3 4" xfId="9353" xr:uid="{D9CF6E52-6DC7-4F33-AAFD-DF8BEC59C47C}"/>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E20D8054-8A61-43CD-BAD5-1A6059F9E93F}"/>
    <cellStyle name="Normal 2 5 4 2 4 2 3" xfId="11911" xr:uid="{9BA0DE92-E392-43C7-9D8E-518F1364202D}"/>
    <cellStyle name="Normal 2 5 4 2 4 3" xfId="5534" xr:uid="{00000000-0005-0000-0000-000032110000}"/>
    <cellStyle name="Normal 2 5 4 2 4 3 2" xfId="13984" xr:uid="{3F0FEA67-BC03-41F0-968B-DA664D111F0F}"/>
    <cellStyle name="Normal 2 5 4 2 4 4" xfId="9766" xr:uid="{7D2483B7-54C0-4478-A17B-556A2B38FAC6}"/>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6215281C-FC47-4769-AF6F-14CF351D89BF}"/>
    <cellStyle name="Normal 2 5 4 2 5 2 3" xfId="12324" xr:uid="{90E3D658-4122-46B9-9C1A-9BB7A3CDC602}"/>
    <cellStyle name="Normal 2 5 4 2 5 3" xfId="5947" xr:uid="{00000000-0005-0000-0000-000036110000}"/>
    <cellStyle name="Normal 2 5 4 2 5 3 2" xfId="14397" xr:uid="{27C1BFEA-99B2-4128-B212-BFBA9C47C9A5}"/>
    <cellStyle name="Normal 2 5 4 2 5 4" xfId="10179" xr:uid="{DDC8012C-1F0F-4CDD-B6CD-80B148ED348E}"/>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5300ADC1-B773-45B3-BE6C-3433A7D1F20F}"/>
    <cellStyle name="Normal 2 5 4 2 6 2 3" xfId="12737" xr:uid="{CB3B28B3-30B4-4C23-BE3B-F576A9267303}"/>
    <cellStyle name="Normal 2 5 4 2 6 3" xfId="6360" xr:uid="{00000000-0005-0000-0000-00003A110000}"/>
    <cellStyle name="Normal 2 5 4 2 6 3 2" xfId="14810" xr:uid="{4CF9E153-E5EB-4DD8-B204-B0E179346859}"/>
    <cellStyle name="Normal 2 5 4 2 6 4" xfId="10592" xr:uid="{E7E21C06-4406-4811-A23D-6BA5D49DA122}"/>
    <cellStyle name="Normal 2 5 4 2 7" xfId="2490" xr:uid="{00000000-0005-0000-0000-00003B110000}"/>
    <cellStyle name="Normal 2 5 4 2 7 2" xfId="6773" xr:uid="{00000000-0005-0000-0000-00003C110000}"/>
    <cellStyle name="Normal 2 5 4 2 7 2 2" xfId="15223" xr:uid="{7A5E7982-43A7-464D-A24C-BB6B988C099D}"/>
    <cellStyle name="Normal 2 5 4 2 7 3" xfId="11005" xr:uid="{9B999421-D6FD-4541-9687-401B1063D8C1}"/>
    <cellStyle name="Normal 2 5 4 2 8" xfId="4707" xr:uid="{00000000-0005-0000-0000-00003D110000}"/>
    <cellStyle name="Normal 2 5 4 2 8 2" xfId="13157" xr:uid="{30333733-753A-456D-AFA7-2DA7DA8B14FE}"/>
    <cellStyle name="Normal 2 5 4 2 9" xfId="8939" xr:uid="{65E59DCA-7E42-4019-AF05-FCC4B9DE6487}"/>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287E260E-3430-4B58-BD61-B5F7A5E39F41}"/>
    <cellStyle name="Normal 2 5 4 3 2 2 3" xfId="11500" xr:uid="{A270EFCB-4E7F-4DE6-8AD6-29ED3B16EA0D}"/>
    <cellStyle name="Normal 2 5 4 3 2 3" xfId="5123" xr:uid="{00000000-0005-0000-0000-000042110000}"/>
    <cellStyle name="Normal 2 5 4 3 2 3 2" xfId="13573" xr:uid="{7A1D54FF-0ECA-43F7-9330-A703C2BA27DB}"/>
    <cellStyle name="Normal 2 5 4 3 2 4" xfId="9355" xr:uid="{0B730B73-8A88-4834-8642-2DFAFE1870A2}"/>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3DA33668-4BAE-4AAD-B701-141750066734}"/>
    <cellStyle name="Normal 2 5 4 3 3 2 3" xfId="11913" xr:uid="{5883D996-60A0-4087-82DF-D1A23BCEAD80}"/>
    <cellStyle name="Normal 2 5 4 3 3 3" xfId="5536" xr:uid="{00000000-0005-0000-0000-000046110000}"/>
    <cellStyle name="Normal 2 5 4 3 3 3 2" xfId="13986" xr:uid="{BFA9E5E1-14D8-4F66-81FE-DDD60F7664F4}"/>
    <cellStyle name="Normal 2 5 4 3 3 4" xfId="9768" xr:uid="{3755DCC4-98C4-4923-8E0E-8A08FF8EA90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FE9DFE60-33CF-4E13-8EAC-ED35A76D738E}"/>
    <cellStyle name="Normal 2 5 4 3 4 2 3" xfId="12326" xr:uid="{9A3C59C4-0CAA-4EF2-B584-8EDAC71AD495}"/>
    <cellStyle name="Normal 2 5 4 3 4 3" xfId="5949" xr:uid="{00000000-0005-0000-0000-00004A110000}"/>
    <cellStyle name="Normal 2 5 4 3 4 3 2" xfId="14399" xr:uid="{298A4A65-DF6C-4CC1-8EFE-98AA33F913F7}"/>
    <cellStyle name="Normal 2 5 4 3 4 4" xfId="10181" xr:uid="{BC06F187-1B2C-4CF8-A384-DCFB5A150FD6}"/>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4B9B2109-3902-43D4-A1E3-BD1303D3C022}"/>
    <cellStyle name="Normal 2 5 4 3 5 2 3" xfId="12739" xr:uid="{88E53CFA-2292-4F2E-995C-D601180F0443}"/>
    <cellStyle name="Normal 2 5 4 3 5 3" xfId="6362" xr:uid="{00000000-0005-0000-0000-00004E110000}"/>
    <cellStyle name="Normal 2 5 4 3 5 3 2" xfId="14812" xr:uid="{FDCE6D37-03AD-4368-A203-4BAE0832B5DA}"/>
    <cellStyle name="Normal 2 5 4 3 5 4" xfId="10594" xr:uid="{8EF979FE-EB94-4BE5-8BF5-4984AE007DB7}"/>
    <cellStyle name="Normal 2 5 4 3 6" xfId="2492" xr:uid="{00000000-0005-0000-0000-00004F110000}"/>
    <cellStyle name="Normal 2 5 4 3 6 2" xfId="6775" xr:uid="{00000000-0005-0000-0000-000050110000}"/>
    <cellStyle name="Normal 2 5 4 3 6 2 2" xfId="15225" xr:uid="{1681D93D-FF00-400A-86ED-2A842AC34F60}"/>
    <cellStyle name="Normal 2 5 4 3 6 3" xfId="11007" xr:uid="{891AA5A9-86B1-4694-B5D0-B8248EA13995}"/>
    <cellStyle name="Normal 2 5 4 3 7" xfId="4709" xr:uid="{00000000-0005-0000-0000-000051110000}"/>
    <cellStyle name="Normal 2 5 4 3 7 2" xfId="13159" xr:uid="{FA8BF9D9-4496-437F-93BB-E57DFA20F6FF}"/>
    <cellStyle name="Normal 2 5 4 3 8" xfId="8941" xr:uid="{8BB36005-92F3-4722-A691-195347F3C345}"/>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20FA8DF5-2BC1-4BA0-8057-AB69D6B26755}"/>
    <cellStyle name="Normal 2 5 4 4 2 3" xfId="11497" xr:uid="{63B4D4E3-50AB-428E-9F17-A995E62B32D9}"/>
    <cellStyle name="Normal 2 5 4 4 3" xfId="5120" xr:uid="{00000000-0005-0000-0000-000055110000}"/>
    <cellStyle name="Normal 2 5 4 4 3 2" xfId="13570" xr:uid="{9AA39614-C172-40D4-83A5-0587E3568020}"/>
    <cellStyle name="Normal 2 5 4 4 4" xfId="9352" xr:uid="{F97690A6-7A68-445F-9264-D11437422DC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626BC6DC-5AA4-42EA-BA55-CC84BAB76AB9}"/>
    <cellStyle name="Normal 2 5 4 5 2 3" xfId="11910" xr:uid="{DB41A7E9-638D-482F-9F9D-39BF0EC54924}"/>
    <cellStyle name="Normal 2 5 4 5 3" xfId="5533" xr:uid="{00000000-0005-0000-0000-000059110000}"/>
    <cellStyle name="Normal 2 5 4 5 3 2" xfId="13983" xr:uid="{4EA90D72-A391-4799-AEFB-8F7939676FFC}"/>
    <cellStyle name="Normal 2 5 4 5 4" xfId="9765" xr:uid="{F3D724C9-6E2C-4429-B43A-A1AAE1E36F33}"/>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AE7D0872-A8B4-4459-9E39-A25CA7D21FC6}"/>
    <cellStyle name="Normal 2 5 4 6 2 3" xfId="12323" xr:uid="{BD564C46-E4FB-446D-97F9-003DD66C809E}"/>
    <cellStyle name="Normal 2 5 4 6 3" xfId="5946" xr:uid="{00000000-0005-0000-0000-00005D110000}"/>
    <cellStyle name="Normal 2 5 4 6 3 2" xfId="14396" xr:uid="{D5FC999B-6B71-4147-98B9-77D5A38C060E}"/>
    <cellStyle name="Normal 2 5 4 6 4" xfId="10178" xr:uid="{2DDB7D24-6C3B-401C-A4D7-0FB10CCBA03A}"/>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C375A0CE-EDAF-4928-9C44-3C32A5F3FCAC}"/>
    <cellStyle name="Normal 2 5 4 7 2 3" xfId="12736" xr:uid="{342DCC8A-129E-4F93-80DC-1DB6C7E10435}"/>
    <cellStyle name="Normal 2 5 4 7 3" xfId="6359" xr:uid="{00000000-0005-0000-0000-000061110000}"/>
    <cellStyle name="Normal 2 5 4 7 3 2" xfId="14809" xr:uid="{905C8431-5E33-4C54-8984-7C49A82BDA2D}"/>
    <cellStyle name="Normal 2 5 4 7 4" xfId="10591" xr:uid="{E89D3A7E-E5AE-43C1-A440-BE99567DB222}"/>
    <cellStyle name="Normal 2 5 4 8" xfId="2489" xr:uid="{00000000-0005-0000-0000-000062110000}"/>
    <cellStyle name="Normal 2 5 4 8 2" xfId="6772" xr:uid="{00000000-0005-0000-0000-000063110000}"/>
    <cellStyle name="Normal 2 5 4 8 2 2" xfId="15222" xr:uid="{6E022123-5C23-4D12-AFF0-1C8ED4B24225}"/>
    <cellStyle name="Normal 2 5 4 8 3" xfId="11004" xr:uid="{3BBB53D3-A245-4FAD-9650-4FC817090A9A}"/>
    <cellStyle name="Normal 2 5 4 9" xfId="4706" xr:uid="{00000000-0005-0000-0000-000064110000}"/>
    <cellStyle name="Normal 2 5 4 9 2" xfId="13156" xr:uid="{5FDF4958-79DD-4820-96DD-0A0610B583F8}"/>
    <cellStyle name="Normal 2 5 5" xfId="803" xr:uid="{00000000-0005-0000-0000-000065110000}"/>
    <cellStyle name="Normal 2 5 5 2" xfId="3042" xr:uid="{00000000-0005-0000-0000-000066110000}"/>
    <cellStyle name="Normal 2 5 5 2 2" xfId="7264" xr:uid="{00000000-0005-0000-0000-000067110000}"/>
    <cellStyle name="Normal 2 5 5 2 2 2" xfId="15714" xr:uid="{E765D165-E70D-4473-B42B-5A30AAD53736}"/>
    <cellStyle name="Normal 2 5 5 2 3" xfId="11496" xr:uid="{78DD4162-6D29-4D04-83E0-161571C1ABD9}"/>
    <cellStyle name="Normal 2 5 5 3" xfId="5119" xr:uid="{00000000-0005-0000-0000-000068110000}"/>
    <cellStyle name="Normal 2 5 5 3 2" xfId="13569" xr:uid="{01DA720F-14C8-4E1E-B8E8-3C8C8DABE66E}"/>
    <cellStyle name="Normal 2 5 5 4" xfId="9351" xr:uid="{54A993F1-5C62-4E2D-80B3-F47CB61F0DB4}"/>
    <cellStyle name="Normal 2 5 6" xfId="1225" xr:uid="{00000000-0005-0000-0000-000069110000}"/>
    <cellStyle name="Normal 2 5 6 2" xfId="3455" xr:uid="{00000000-0005-0000-0000-00006A110000}"/>
    <cellStyle name="Normal 2 5 6 2 2" xfId="7677" xr:uid="{00000000-0005-0000-0000-00006B110000}"/>
    <cellStyle name="Normal 2 5 6 2 2 2" xfId="16127" xr:uid="{8A9CCA39-26D2-4665-B659-1B166064888F}"/>
    <cellStyle name="Normal 2 5 6 2 3" xfId="11909" xr:uid="{1DFFF1B3-6735-4643-A86C-FAC8A555B551}"/>
    <cellStyle name="Normal 2 5 6 3" xfId="5532" xr:uid="{00000000-0005-0000-0000-00006C110000}"/>
    <cellStyle name="Normal 2 5 6 3 2" xfId="13982" xr:uid="{56CDCD10-5D1F-4C74-BDA7-E1854ED3F1A9}"/>
    <cellStyle name="Normal 2 5 6 4" xfId="9764" xr:uid="{B9506D6C-D143-44A6-94D0-C7836B4965FA}"/>
    <cellStyle name="Normal 2 5 7" xfId="1638" xr:uid="{00000000-0005-0000-0000-00006D110000}"/>
    <cellStyle name="Normal 2 5 7 2" xfId="3868" xr:uid="{00000000-0005-0000-0000-00006E110000}"/>
    <cellStyle name="Normal 2 5 7 2 2" xfId="8090" xr:uid="{00000000-0005-0000-0000-00006F110000}"/>
    <cellStyle name="Normal 2 5 7 2 2 2" xfId="16540" xr:uid="{531A3271-64A9-4C99-839D-5914D328B00D}"/>
    <cellStyle name="Normal 2 5 7 2 3" xfId="12322" xr:uid="{070492F9-2C1C-4BD0-A35F-4901C83DCA4B}"/>
    <cellStyle name="Normal 2 5 7 3" xfId="5945" xr:uid="{00000000-0005-0000-0000-000070110000}"/>
    <cellStyle name="Normal 2 5 7 3 2" xfId="14395" xr:uid="{0EE14629-72A4-4CE1-914F-933A1F9B9AED}"/>
    <cellStyle name="Normal 2 5 7 4" xfId="10177" xr:uid="{C9130079-D656-4275-AE5A-C6E31DEB37CE}"/>
    <cellStyle name="Normal 2 5 8" xfId="2052" xr:uid="{00000000-0005-0000-0000-000071110000}"/>
    <cellStyle name="Normal 2 5 8 2" xfId="4281" xr:uid="{00000000-0005-0000-0000-000072110000}"/>
    <cellStyle name="Normal 2 5 8 2 2" xfId="8503" xr:uid="{00000000-0005-0000-0000-000073110000}"/>
    <cellStyle name="Normal 2 5 8 2 2 2" xfId="16953" xr:uid="{A067AD8D-99C6-406C-A086-65E210DF46F5}"/>
    <cellStyle name="Normal 2 5 8 2 3" xfId="12735" xr:uid="{613AB1BB-6EE1-47DE-87C0-A6A98BB00AB2}"/>
    <cellStyle name="Normal 2 5 8 3" xfId="6358" xr:uid="{00000000-0005-0000-0000-000074110000}"/>
    <cellStyle name="Normal 2 5 8 3 2" xfId="14808" xr:uid="{0A04EDE8-A0E3-4F99-A9EC-EC31251E6A41}"/>
    <cellStyle name="Normal 2 5 8 4" xfId="10590" xr:uid="{ED7199CB-96D2-4028-B0C1-E3F77F0E72A2}"/>
    <cellStyle name="Normal 2 5 9" xfId="2488" xr:uid="{00000000-0005-0000-0000-000075110000}"/>
    <cellStyle name="Normal 2 5 9 2" xfId="6771" xr:uid="{00000000-0005-0000-0000-000076110000}"/>
    <cellStyle name="Normal 2 5 9 2 2" xfId="15221" xr:uid="{751E5540-FBAE-4DA3-91BD-909E60D45FD5}"/>
    <cellStyle name="Normal 2 5 9 3" xfId="11003" xr:uid="{80FF97F1-6492-447A-90AC-DA353DFCE3D0}"/>
    <cellStyle name="Normal 2 6" xfId="322" xr:uid="{00000000-0005-0000-0000-000077110000}"/>
    <cellStyle name="Normal 2 7" xfId="769" xr:uid="{00000000-0005-0000-0000-000078110000}"/>
    <cellStyle name="Normal 2 8" xfId="4495" xr:uid="{00000000-0005-0000-0000-000079110000}"/>
    <cellStyle name="Normal 2 8 2" xfId="12947" xr:uid="{8CEC194B-24A4-483E-9EC8-7CE4FA663611}"/>
    <cellStyle name="Normal 3" xfId="323" xr:uid="{00000000-0005-0000-0000-00007A110000}"/>
    <cellStyle name="Normal 3 2" xfId="324" xr:uid="{00000000-0005-0000-0000-00007B110000}"/>
    <cellStyle name="Normal 3 2 10" xfId="8942" xr:uid="{8BBA3A32-603F-483D-A1C5-EED3DB48AED8}"/>
    <cellStyle name="Normal 3 2 2" xfId="325" xr:uid="{00000000-0005-0000-0000-00007C110000}"/>
    <cellStyle name="Normal 3 2 2 2" xfId="810" xr:uid="{00000000-0005-0000-0000-00007D110000}"/>
    <cellStyle name="Normal 3 2 3" xfId="326" xr:uid="{00000000-0005-0000-0000-00007E110000}"/>
    <cellStyle name="Normal 3 2 3 10" xfId="8943" xr:uid="{BA006329-FFEC-4F24-AD7C-4767D2668564}"/>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326E2A9D-9335-4D93-87FF-56247D33F23C}"/>
    <cellStyle name="Normal 3 2 3 2 2 2 2 3" xfId="11504" xr:uid="{805CFB91-5008-4581-A2AB-175025A58885}"/>
    <cellStyle name="Normal 3 2 3 2 2 2 3" xfId="5127" xr:uid="{00000000-0005-0000-0000-000084110000}"/>
    <cellStyle name="Normal 3 2 3 2 2 2 3 2" xfId="13577" xr:uid="{E3209F96-DB5A-4295-AB00-34DE6C3C09D1}"/>
    <cellStyle name="Normal 3 2 3 2 2 2 4" xfId="9359" xr:uid="{B2598BBC-AF00-4E52-973E-F0B2EAB4707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19358132-0976-4C0A-9910-35F6AD0F0544}"/>
    <cellStyle name="Normal 3 2 3 2 2 3 2 3" xfId="11917" xr:uid="{8EF46B84-F9FF-45FF-BD44-F3D2F6FA5D74}"/>
    <cellStyle name="Normal 3 2 3 2 2 3 3" xfId="5540" xr:uid="{00000000-0005-0000-0000-000088110000}"/>
    <cellStyle name="Normal 3 2 3 2 2 3 3 2" xfId="13990" xr:uid="{7ADE037B-5F36-4489-8DC8-EF1AA1BC8B06}"/>
    <cellStyle name="Normal 3 2 3 2 2 3 4" xfId="9772" xr:uid="{80D336C4-DB12-4355-BE3A-4307E78467F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5B0BDCD9-399C-40CA-AA98-CBE4BCE37DAB}"/>
    <cellStyle name="Normal 3 2 3 2 2 4 2 3" xfId="12330" xr:uid="{2AAC827B-C77E-448E-8159-A68422E78CE1}"/>
    <cellStyle name="Normal 3 2 3 2 2 4 3" xfId="5953" xr:uid="{00000000-0005-0000-0000-00008C110000}"/>
    <cellStyle name="Normal 3 2 3 2 2 4 3 2" xfId="14403" xr:uid="{7550F48F-1D2F-4688-8901-EBC363E54659}"/>
    <cellStyle name="Normal 3 2 3 2 2 4 4" xfId="10185" xr:uid="{0101E596-F43E-4894-9390-625242F2A7B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A71BEBD8-5A31-4320-9BE4-12F7DC2D4184}"/>
    <cellStyle name="Normal 3 2 3 2 2 5 2 3" xfId="12743" xr:uid="{31C99D6B-DF54-4B24-87F4-3C13C0AC3BD4}"/>
    <cellStyle name="Normal 3 2 3 2 2 5 3" xfId="6366" xr:uid="{00000000-0005-0000-0000-000090110000}"/>
    <cellStyle name="Normal 3 2 3 2 2 5 3 2" xfId="14816" xr:uid="{B89F0CEC-B6FA-4FC5-BDB2-EE56E0F1E3BE}"/>
    <cellStyle name="Normal 3 2 3 2 2 5 4" xfId="10598" xr:uid="{0195A5BE-D8A8-42E6-9869-435C235F1478}"/>
    <cellStyle name="Normal 3 2 3 2 2 6" xfId="2496" xr:uid="{00000000-0005-0000-0000-000091110000}"/>
    <cellStyle name="Normal 3 2 3 2 2 6 2" xfId="6779" xr:uid="{00000000-0005-0000-0000-000092110000}"/>
    <cellStyle name="Normal 3 2 3 2 2 6 2 2" xfId="15229" xr:uid="{F314E4B8-DC56-427D-B31A-774EAB08209D}"/>
    <cellStyle name="Normal 3 2 3 2 2 6 3" xfId="11011" xr:uid="{FFEC33BB-D26A-4AD2-B2B2-E1C0D8114CF2}"/>
    <cellStyle name="Normal 3 2 3 2 2 7" xfId="4713" xr:uid="{00000000-0005-0000-0000-000093110000}"/>
    <cellStyle name="Normal 3 2 3 2 2 7 2" xfId="13163" xr:uid="{06C74849-6896-41F1-A6AF-6FC4D6065180}"/>
    <cellStyle name="Normal 3 2 3 2 2 8" xfId="8945" xr:uid="{5EED0D1A-4B19-4841-863F-B04432A2092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6E92E1F7-167C-41F3-9810-F61BC0ED59DE}"/>
    <cellStyle name="Normal 3 2 3 2 3 2 3" xfId="11503" xr:uid="{2393B733-3AA3-44DE-9235-F3C177B56F49}"/>
    <cellStyle name="Normal 3 2 3 2 3 3" xfId="5126" xr:uid="{00000000-0005-0000-0000-000097110000}"/>
    <cellStyle name="Normal 3 2 3 2 3 3 2" xfId="13576" xr:uid="{7BE9ADDF-DFCD-4B66-85C2-281350C19C2B}"/>
    <cellStyle name="Normal 3 2 3 2 3 4" xfId="9358" xr:uid="{3A447C74-9EAD-454C-BA1C-4ED7C298D9CF}"/>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D88742E6-8AC6-4A00-8591-3E6520D55F7C}"/>
    <cellStyle name="Normal 3 2 3 2 4 2 3" xfId="11916" xr:uid="{767565FB-237A-4F2D-A606-3833825BAE0C}"/>
    <cellStyle name="Normal 3 2 3 2 4 3" xfId="5539" xr:uid="{00000000-0005-0000-0000-00009B110000}"/>
    <cellStyle name="Normal 3 2 3 2 4 3 2" xfId="13989" xr:uid="{2F721CF5-A690-42B2-9DA0-8F30C528EA31}"/>
    <cellStyle name="Normal 3 2 3 2 4 4" xfId="9771" xr:uid="{DCEEFD3E-99A6-457C-819F-BB1067DF5444}"/>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5398BAE2-E439-4FCB-A654-89717EB49133}"/>
    <cellStyle name="Normal 3 2 3 2 5 2 3" xfId="12329" xr:uid="{90FBFA8E-41B4-4A99-895D-17CB1050D179}"/>
    <cellStyle name="Normal 3 2 3 2 5 3" xfId="5952" xr:uid="{00000000-0005-0000-0000-00009F110000}"/>
    <cellStyle name="Normal 3 2 3 2 5 3 2" xfId="14402" xr:uid="{1D3064E9-980D-46FE-BE23-F2B63AA0F823}"/>
    <cellStyle name="Normal 3 2 3 2 5 4" xfId="10184" xr:uid="{BC4AFB73-DC7A-4F8C-AD10-6F7A793537A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4B5E22C2-8969-49F9-B2F0-8B2205B748C7}"/>
    <cellStyle name="Normal 3 2 3 2 6 2 3" xfId="12742" xr:uid="{3FE838DC-B3A9-4FAB-BB92-3ADAE7CDCBCD}"/>
    <cellStyle name="Normal 3 2 3 2 6 3" xfId="6365" xr:uid="{00000000-0005-0000-0000-0000A3110000}"/>
    <cellStyle name="Normal 3 2 3 2 6 3 2" xfId="14815" xr:uid="{0E473697-1BC0-4CED-B083-088AC5A396F4}"/>
    <cellStyle name="Normal 3 2 3 2 6 4" xfId="10597" xr:uid="{E9B85A61-51CD-4B05-AECF-4477B1E298A3}"/>
    <cellStyle name="Normal 3 2 3 2 7" xfId="2495" xr:uid="{00000000-0005-0000-0000-0000A4110000}"/>
    <cellStyle name="Normal 3 2 3 2 7 2" xfId="6778" xr:uid="{00000000-0005-0000-0000-0000A5110000}"/>
    <cellStyle name="Normal 3 2 3 2 7 2 2" xfId="15228" xr:uid="{044E1401-3C08-4096-A146-F3497938C36F}"/>
    <cellStyle name="Normal 3 2 3 2 7 3" xfId="11010" xr:uid="{567E94E6-0742-4989-9082-20309490B9A5}"/>
    <cellStyle name="Normal 3 2 3 2 8" xfId="4712" xr:uid="{00000000-0005-0000-0000-0000A6110000}"/>
    <cellStyle name="Normal 3 2 3 2 8 2" xfId="13162" xr:uid="{C1F83C41-4A75-486E-BAEC-F9888493449B}"/>
    <cellStyle name="Normal 3 2 3 2 9" xfId="8944" xr:uid="{598A105C-565A-4AD5-A3BE-601923894D4E}"/>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B47251B5-10AE-4CE1-BAA6-476D40AE04A6}"/>
    <cellStyle name="Normal 3 2 3 3 2 2 3" xfId="11505" xr:uid="{A80364AB-4EC3-473C-A71E-80CB70FCC4A6}"/>
    <cellStyle name="Normal 3 2 3 3 2 3" xfId="5128" xr:uid="{00000000-0005-0000-0000-0000AB110000}"/>
    <cellStyle name="Normal 3 2 3 3 2 3 2" xfId="13578" xr:uid="{E327DA04-DCE3-43DF-9882-B1887F818C2E}"/>
    <cellStyle name="Normal 3 2 3 3 2 4" xfId="9360" xr:uid="{6E9B2329-2278-466E-9552-9224F412D57F}"/>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F13E9F27-C7B7-482E-9835-7D24F7BC1ADD}"/>
    <cellStyle name="Normal 3 2 3 3 3 2 3" xfId="11918" xr:uid="{9549F836-A7CC-45A4-A5EC-9DF28233E983}"/>
    <cellStyle name="Normal 3 2 3 3 3 3" xfId="5541" xr:uid="{00000000-0005-0000-0000-0000AF110000}"/>
    <cellStyle name="Normal 3 2 3 3 3 3 2" xfId="13991" xr:uid="{D9C2E684-4619-4466-9B2D-12240C2033AB}"/>
    <cellStyle name="Normal 3 2 3 3 3 4" xfId="9773" xr:uid="{46E2D865-FFE0-4D94-BECA-8A8B43A86298}"/>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66FAEA7C-AC6D-4B82-AB65-15413E44DDAB}"/>
    <cellStyle name="Normal 3 2 3 3 4 2 3" xfId="12331" xr:uid="{B3DBC33E-4993-4D22-A3DB-B17302EFC04B}"/>
    <cellStyle name="Normal 3 2 3 3 4 3" xfId="5954" xr:uid="{00000000-0005-0000-0000-0000B3110000}"/>
    <cellStyle name="Normal 3 2 3 3 4 3 2" xfId="14404" xr:uid="{368AE17F-85D7-4A69-B4BC-2FEFBA317E4F}"/>
    <cellStyle name="Normal 3 2 3 3 4 4" xfId="10186" xr:uid="{5B210DF6-2350-4B86-82B0-4021D3CD495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71994D4C-2CC0-4C31-BD9D-BD2347753834}"/>
    <cellStyle name="Normal 3 2 3 3 5 2 3" xfId="12744" xr:uid="{1712D5D3-1411-44DC-BA86-E45F22B8D401}"/>
    <cellStyle name="Normal 3 2 3 3 5 3" xfId="6367" xr:uid="{00000000-0005-0000-0000-0000B7110000}"/>
    <cellStyle name="Normal 3 2 3 3 5 3 2" xfId="14817" xr:uid="{9C89FAB8-0F46-455C-8F9F-E09B07A454A2}"/>
    <cellStyle name="Normal 3 2 3 3 5 4" xfId="10599" xr:uid="{C7181655-CBF9-4BAC-A548-7A90D8F8D78F}"/>
    <cellStyle name="Normal 3 2 3 3 6" xfId="2497" xr:uid="{00000000-0005-0000-0000-0000B8110000}"/>
    <cellStyle name="Normal 3 2 3 3 6 2" xfId="6780" xr:uid="{00000000-0005-0000-0000-0000B9110000}"/>
    <cellStyle name="Normal 3 2 3 3 6 2 2" xfId="15230" xr:uid="{FEC86821-2D82-4BE5-9A90-17D34D148CC2}"/>
    <cellStyle name="Normal 3 2 3 3 6 3" xfId="11012" xr:uid="{8D909A67-E0B5-49DC-8E24-F68D70AE260D}"/>
    <cellStyle name="Normal 3 2 3 3 7" xfId="4714" xr:uid="{00000000-0005-0000-0000-0000BA110000}"/>
    <cellStyle name="Normal 3 2 3 3 7 2" xfId="13164" xr:uid="{76AD4B23-8D3F-4B1C-9095-E6EF279DD270}"/>
    <cellStyle name="Normal 3 2 3 3 8" xfId="8946" xr:uid="{97975CC5-429D-4A64-A4EA-A6D1B3D7C0F4}"/>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8FB1760A-DD87-4F57-BBDC-56BA3651C43C}"/>
    <cellStyle name="Normal 3 2 3 4 2 3" xfId="11502" xr:uid="{6581CDA1-4A0A-4027-835E-7E937D3F2214}"/>
    <cellStyle name="Normal 3 2 3 4 3" xfId="5125" xr:uid="{00000000-0005-0000-0000-0000BE110000}"/>
    <cellStyle name="Normal 3 2 3 4 3 2" xfId="13575" xr:uid="{5818CDE6-97FE-469C-A81A-36F2F0D29026}"/>
    <cellStyle name="Normal 3 2 3 4 4" xfId="9357" xr:uid="{5B0156BF-F1A6-48C3-9531-D8C0337F9E7F}"/>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52BDC551-8CFB-4E61-8805-D918AFB36EBF}"/>
    <cellStyle name="Normal 3 2 3 5 2 3" xfId="11915" xr:uid="{E9C5BF6C-3A15-4763-A0CD-4DCD1A92B26B}"/>
    <cellStyle name="Normal 3 2 3 5 3" xfId="5538" xr:uid="{00000000-0005-0000-0000-0000C2110000}"/>
    <cellStyle name="Normal 3 2 3 5 3 2" xfId="13988" xr:uid="{458D969F-F9C0-4636-A1A3-AFA46178CAD5}"/>
    <cellStyle name="Normal 3 2 3 5 4" xfId="9770" xr:uid="{4DE463D1-3C68-42F6-A6E5-8F8853FC2F56}"/>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4005100F-313E-42AD-99F6-1034561951E4}"/>
    <cellStyle name="Normal 3 2 3 6 2 3" xfId="12328" xr:uid="{20CD08B0-768E-4A7B-A711-150AC0EA02A4}"/>
    <cellStyle name="Normal 3 2 3 6 3" xfId="5951" xr:uid="{00000000-0005-0000-0000-0000C6110000}"/>
    <cellStyle name="Normal 3 2 3 6 3 2" xfId="14401" xr:uid="{BC5F214B-F580-491C-AAB1-35BB1BD96B3D}"/>
    <cellStyle name="Normal 3 2 3 6 4" xfId="10183" xr:uid="{A02B5AC5-CF7F-418A-A008-008250161C9C}"/>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EB55AC79-6A89-4473-8BCF-0FDC4EF76A9E}"/>
    <cellStyle name="Normal 3 2 3 7 2 3" xfId="12741" xr:uid="{66C7631E-EC1A-49F2-AE71-60AD45C13FBB}"/>
    <cellStyle name="Normal 3 2 3 7 3" xfId="6364" xr:uid="{00000000-0005-0000-0000-0000CA110000}"/>
    <cellStyle name="Normal 3 2 3 7 3 2" xfId="14814" xr:uid="{6BA105D1-940A-40D0-B001-C4B36546F748}"/>
    <cellStyle name="Normal 3 2 3 7 4" xfId="10596" xr:uid="{0E7CB022-4F4A-41D8-B9C5-280164A18F7D}"/>
    <cellStyle name="Normal 3 2 3 8" xfId="2494" xr:uid="{00000000-0005-0000-0000-0000CB110000}"/>
    <cellStyle name="Normal 3 2 3 8 2" xfId="6777" xr:uid="{00000000-0005-0000-0000-0000CC110000}"/>
    <cellStyle name="Normal 3 2 3 8 2 2" xfId="15227" xr:uid="{E141C50C-53FE-41EC-B5F6-A6368C35E5E1}"/>
    <cellStyle name="Normal 3 2 3 8 3" xfId="11009" xr:uid="{8D235053-86BE-4A4D-8739-61A106F1F88A}"/>
    <cellStyle name="Normal 3 2 3 9" xfId="4711" xr:uid="{00000000-0005-0000-0000-0000CD110000}"/>
    <cellStyle name="Normal 3 2 3 9 2" xfId="13161" xr:uid="{C984BF0F-8A5E-4624-A909-6C21CA7C163A}"/>
    <cellStyle name="Normal 3 2 4" xfId="809" xr:uid="{00000000-0005-0000-0000-0000CE110000}"/>
    <cellStyle name="Normal 3 2 4 2" xfId="3047" xr:uid="{00000000-0005-0000-0000-0000CF110000}"/>
    <cellStyle name="Normal 3 2 4 2 2" xfId="7269" xr:uid="{00000000-0005-0000-0000-0000D0110000}"/>
    <cellStyle name="Normal 3 2 4 2 2 2" xfId="15719" xr:uid="{21530286-21C7-4E2D-A87C-495834B51C7A}"/>
    <cellStyle name="Normal 3 2 4 2 3" xfId="11501" xr:uid="{B8B5D0D9-3849-46ED-BA7C-06D94384815C}"/>
    <cellStyle name="Normal 3 2 4 3" xfId="5124" xr:uid="{00000000-0005-0000-0000-0000D1110000}"/>
    <cellStyle name="Normal 3 2 4 3 2" xfId="13574" xr:uid="{EB8E26E2-2776-4E00-8E1C-5A3ADB6F2831}"/>
    <cellStyle name="Normal 3 2 4 4" xfId="9356" xr:uid="{FF17C9D7-ABE4-4EC5-93B9-684C03F3B104}"/>
    <cellStyle name="Normal 3 2 5" xfId="1230" xr:uid="{00000000-0005-0000-0000-0000D2110000}"/>
    <cellStyle name="Normal 3 2 5 2" xfId="3460" xr:uid="{00000000-0005-0000-0000-0000D3110000}"/>
    <cellStyle name="Normal 3 2 5 2 2" xfId="7682" xr:uid="{00000000-0005-0000-0000-0000D4110000}"/>
    <cellStyle name="Normal 3 2 5 2 2 2" xfId="16132" xr:uid="{FDF61C1A-950C-4971-A3BA-786743372BC8}"/>
    <cellStyle name="Normal 3 2 5 2 3" xfId="11914" xr:uid="{DB4D3F01-DA9F-44BA-B33E-F55E38F8B635}"/>
    <cellStyle name="Normal 3 2 5 3" xfId="5537" xr:uid="{00000000-0005-0000-0000-0000D5110000}"/>
    <cellStyle name="Normal 3 2 5 3 2" xfId="13987" xr:uid="{9406EB43-0B50-4C8B-9A8E-2E494284A174}"/>
    <cellStyle name="Normal 3 2 5 4" xfId="9769" xr:uid="{064F1B2D-F5E7-42AB-B118-74AD1E360F46}"/>
    <cellStyle name="Normal 3 2 6" xfId="1643" xr:uid="{00000000-0005-0000-0000-0000D6110000}"/>
    <cellStyle name="Normal 3 2 6 2" xfId="3873" xr:uid="{00000000-0005-0000-0000-0000D7110000}"/>
    <cellStyle name="Normal 3 2 6 2 2" xfId="8095" xr:uid="{00000000-0005-0000-0000-0000D8110000}"/>
    <cellStyle name="Normal 3 2 6 2 2 2" xfId="16545" xr:uid="{6CE53F4F-2D8F-4443-BDD8-A07A5857E184}"/>
    <cellStyle name="Normal 3 2 6 2 3" xfId="12327" xr:uid="{F11E7495-04F7-4542-A652-01E80BD98EEB}"/>
    <cellStyle name="Normal 3 2 6 3" xfId="5950" xr:uid="{00000000-0005-0000-0000-0000D9110000}"/>
    <cellStyle name="Normal 3 2 6 3 2" xfId="14400" xr:uid="{8FE9C795-2996-44F8-B03B-FD1B57AB1C31}"/>
    <cellStyle name="Normal 3 2 6 4" xfId="10182" xr:uid="{2CF91690-3A57-4425-A500-158FD1EA1504}"/>
    <cellStyle name="Normal 3 2 7" xfId="2057" xr:uid="{00000000-0005-0000-0000-0000DA110000}"/>
    <cellStyle name="Normal 3 2 7 2" xfId="4286" xr:uid="{00000000-0005-0000-0000-0000DB110000}"/>
    <cellStyle name="Normal 3 2 7 2 2" xfId="8508" xr:uid="{00000000-0005-0000-0000-0000DC110000}"/>
    <cellStyle name="Normal 3 2 7 2 2 2" xfId="16958" xr:uid="{582A2491-5855-413E-B323-09CD2B12E4D3}"/>
    <cellStyle name="Normal 3 2 7 2 3" xfId="12740" xr:uid="{90B23D0D-3E94-4BA2-B2E1-D484553397F2}"/>
    <cellStyle name="Normal 3 2 7 3" xfId="6363" xr:uid="{00000000-0005-0000-0000-0000DD110000}"/>
    <cellStyle name="Normal 3 2 7 3 2" xfId="14813" xr:uid="{FE6696F6-925B-4A58-9560-2E2C5612ACC2}"/>
    <cellStyle name="Normal 3 2 7 4" xfId="10595" xr:uid="{02A4A93F-E840-45A2-B304-11AF835392FF}"/>
    <cellStyle name="Normal 3 2 8" xfId="2493" xr:uid="{00000000-0005-0000-0000-0000DE110000}"/>
    <cellStyle name="Normal 3 2 8 2" xfId="6776" xr:uid="{00000000-0005-0000-0000-0000DF110000}"/>
    <cellStyle name="Normal 3 2 8 2 2" xfId="15226" xr:uid="{E3E54F25-6AA0-4840-BE5A-FC144BB91E0F}"/>
    <cellStyle name="Normal 3 2 8 3" xfId="11008" xr:uid="{3CF3A0C9-BCC4-4F35-A505-A10E9E8A1760}"/>
    <cellStyle name="Normal 3 2 9" xfId="4710" xr:uid="{00000000-0005-0000-0000-0000E0110000}"/>
    <cellStyle name="Normal 3 2 9 2" xfId="13160" xr:uid="{9962BF4C-8763-4B5E-AD26-E858F376C2A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66B8BF69-A0B0-4E25-A76A-B56F8CE422A3}"/>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B2D55019-44F8-476E-A8F4-BC4B481145F3}"/>
    <cellStyle name="Normal 4 2 2 10 2 3" xfId="12745" xr:uid="{5DE46EBE-3F06-48B9-AC6D-63475FD29D06}"/>
    <cellStyle name="Normal 4 2 2 10 3" xfId="6368" xr:uid="{00000000-0005-0000-0000-0000ED110000}"/>
    <cellStyle name="Normal 4 2 2 10 3 2" xfId="14818" xr:uid="{293707AF-DB68-4571-B59F-A40929570957}"/>
    <cellStyle name="Normal 4 2 2 10 4" xfId="10600" xr:uid="{CC7650FB-4A0B-4141-95F0-50480013F08C}"/>
    <cellStyle name="Normal 4 2 2 11" xfId="2498" xr:uid="{00000000-0005-0000-0000-0000EE110000}"/>
    <cellStyle name="Normal 4 2 2 11 2" xfId="6781" xr:uid="{00000000-0005-0000-0000-0000EF110000}"/>
    <cellStyle name="Normal 4 2 2 11 2 2" xfId="15231" xr:uid="{B11E1C1D-7695-4952-BAB0-26B5A316C58D}"/>
    <cellStyle name="Normal 4 2 2 11 3" xfId="11013" xr:uid="{28A5B389-B9B8-4BDA-9F8B-572FBAE66456}"/>
    <cellStyle name="Normal 4 2 2 12" xfId="4716" xr:uid="{00000000-0005-0000-0000-0000F0110000}"/>
    <cellStyle name="Normal 4 2 2 12 2" xfId="13166" xr:uid="{3A264AB7-5D23-4025-8A33-1A1295BE9E08}"/>
    <cellStyle name="Normal 4 2 2 13" xfId="8948" xr:uid="{83E5AF69-239A-4D06-A9AD-7970757B54E6}"/>
    <cellStyle name="Normal 4 2 2 2" xfId="338" xr:uid="{00000000-0005-0000-0000-0000F1110000}"/>
    <cellStyle name="Normal 4 2 2 3" xfId="339" xr:uid="{00000000-0005-0000-0000-0000F2110000}"/>
    <cellStyle name="Normal 4 2 2 3 10" xfId="4717" xr:uid="{00000000-0005-0000-0000-0000F3110000}"/>
    <cellStyle name="Normal 4 2 2 3 10 2" xfId="13167" xr:uid="{41D7755B-AF1A-45AA-B325-FA8160CB87B4}"/>
    <cellStyle name="Normal 4 2 2 3 11" xfId="8949" xr:uid="{F3B4221D-7BE7-4DF1-9245-A9F1D25C06FA}"/>
    <cellStyle name="Normal 4 2 2 3 2" xfId="340" xr:uid="{00000000-0005-0000-0000-0000F4110000}"/>
    <cellStyle name="Normal 4 2 2 3 2 10" xfId="8950" xr:uid="{0649F0D9-C2B7-43F6-8DB1-D6A2B8B7F6B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A5C738BF-9DCA-4531-957A-808634E4B751}"/>
    <cellStyle name="Normal 4 2 2 3 2 2 2 2 2 3" xfId="11510" xr:uid="{EC8E52ED-CB18-4A5C-B4D9-85A4FE47DCE5}"/>
    <cellStyle name="Normal 4 2 2 3 2 2 2 2 3" xfId="5133" xr:uid="{00000000-0005-0000-0000-0000FA110000}"/>
    <cellStyle name="Normal 4 2 2 3 2 2 2 2 3 2" xfId="13583" xr:uid="{DA398399-8740-45C3-90F0-5EB5E4B4E6FF}"/>
    <cellStyle name="Normal 4 2 2 3 2 2 2 2 4" xfId="9365" xr:uid="{1AA07732-41C5-4EDD-B299-787AFAB745AB}"/>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906304E8-A2A1-4A97-A8FF-25FD62546075}"/>
    <cellStyle name="Normal 4 2 2 3 2 2 2 3 2 3" xfId="11923" xr:uid="{977E99AB-7E86-4125-A3A8-3D9F2443B11A}"/>
    <cellStyle name="Normal 4 2 2 3 2 2 2 3 3" xfId="5546" xr:uid="{00000000-0005-0000-0000-0000FE110000}"/>
    <cellStyle name="Normal 4 2 2 3 2 2 2 3 3 2" xfId="13996" xr:uid="{84F17428-2489-45D2-8582-4A711BB3D80A}"/>
    <cellStyle name="Normal 4 2 2 3 2 2 2 3 4" xfId="9778" xr:uid="{B2529A28-8B4A-4D57-B6D6-7628C96689D8}"/>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305AB229-6496-48B1-A354-226F7AE21C1C}"/>
    <cellStyle name="Normal 4 2 2 3 2 2 2 4 2 3" xfId="12336" xr:uid="{0ECC0A7A-99EB-46EB-A076-53115421AC7C}"/>
    <cellStyle name="Normal 4 2 2 3 2 2 2 4 3" xfId="5959" xr:uid="{00000000-0005-0000-0000-000002120000}"/>
    <cellStyle name="Normal 4 2 2 3 2 2 2 4 3 2" xfId="14409" xr:uid="{699621A4-C0CA-4A7E-A9B5-EAEE607CF6DB}"/>
    <cellStyle name="Normal 4 2 2 3 2 2 2 4 4" xfId="10191" xr:uid="{4EF93403-4911-482A-9EE2-6F422CD13D2A}"/>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1737EDAE-9F18-4F26-9240-155866737704}"/>
    <cellStyle name="Normal 4 2 2 3 2 2 2 5 2 3" xfId="12749" xr:uid="{3967D3B2-7A5A-4534-AD9A-A315B8BB2F16}"/>
    <cellStyle name="Normal 4 2 2 3 2 2 2 5 3" xfId="6372" xr:uid="{00000000-0005-0000-0000-000006120000}"/>
    <cellStyle name="Normal 4 2 2 3 2 2 2 5 3 2" xfId="14822" xr:uid="{9548E3F1-C96C-4E86-BF0A-6D2DB5B468AA}"/>
    <cellStyle name="Normal 4 2 2 3 2 2 2 5 4" xfId="10604" xr:uid="{92B17E54-8F7F-4BDC-A43A-A8C423E4AF2C}"/>
    <cellStyle name="Normal 4 2 2 3 2 2 2 6" xfId="2502" xr:uid="{00000000-0005-0000-0000-000007120000}"/>
    <cellStyle name="Normal 4 2 2 3 2 2 2 6 2" xfId="6785" xr:uid="{00000000-0005-0000-0000-000008120000}"/>
    <cellStyle name="Normal 4 2 2 3 2 2 2 6 2 2" xfId="15235" xr:uid="{26E21D14-D07A-48BF-B9BB-682A79BEA546}"/>
    <cellStyle name="Normal 4 2 2 3 2 2 2 6 3" xfId="11017" xr:uid="{B253FA34-6CC3-41A4-B256-8C15FD1DC68D}"/>
    <cellStyle name="Normal 4 2 2 3 2 2 2 7" xfId="4720" xr:uid="{00000000-0005-0000-0000-000009120000}"/>
    <cellStyle name="Normal 4 2 2 3 2 2 2 7 2" xfId="13170" xr:uid="{A4191A9C-679B-4AC8-A817-14BB8751AB2B}"/>
    <cellStyle name="Normal 4 2 2 3 2 2 2 8" xfId="8952" xr:uid="{2F4C6B21-6DF1-4B4E-AFF5-39D0679DB0A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0FCAD799-940F-4B6E-BBDF-82B36C1E4BD3}"/>
    <cellStyle name="Normal 4 2 2 3 2 2 3 2 3" xfId="11509" xr:uid="{13DB6C4F-B7D3-4B6A-8079-E4010E1AA29B}"/>
    <cellStyle name="Normal 4 2 2 3 2 2 3 3" xfId="5132" xr:uid="{00000000-0005-0000-0000-00000D120000}"/>
    <cellStyle name="Normal 4 2 2 3 2 2 3 3 2" xfId="13582" xr:uid="{D7B66947-928F-4109-AF0E-A1042EBF6BDD}"/>
    <cellStyle name="Normal 4 2 2 3 2 2 3 4" xfId="9364" xr:uid="{DEC1E7E7-7A6B-44CF-B321-CE187DEBA28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D32E78C3-D5C3-448A-A458-F7E2F86F9812}"/>
    <cellStyle name="Normal 4 2 2 3 2 2 4 2 3" xfId="11922" xr:uid="{F1D4A0F0-0C02-4476-8A21-DC1A53F29F4B}"/>
    <cellStyle name="Normal 4 2 2 3 2 2 4 3" xfId="5545" xr:uid="{00000000-0005-0000-0000-000011120000}"/>
    <cellStyle name="Normal 4 2 2 3 2 2 4 3 2" xfId="13995" xr:uid="{341EE2A7-8B65-4797-B4EF-9D50A0D26320}"/>
    <cellStyle name="Normal 4 2 2 3 2 2 4 4" xfId="9777" xr:uid="{0161BE42-5136-4AFB-B33C-62073427B22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1F296033-0472-4261-93D4-4C5BD4839837}"/>
    <cellStyle name="Normal 4 2 2 3 2 2 5 2 3" xfId="12335" xr:uid="{F0C041AC-3ABA-4144-B6F1-CCC729221215}"/>
    <cellStyle name="Normal 4 2 2 3 2 2 5 3" xfId="5958" xr:uid="{00000000-0005-0000-0000-000015120000}"/>
    <cellStyle name="Normal 4 2 2 3 2 2 5 3 2" xfId="14408" xr:uid="{CB5AB961-C891-46B2-BA12-0908B5812B36}"/>
    <cellStyle name="Normal 4 2 2 3 2 2 5 4" xfId="10190" xr:uid="{C3063472-61EB-484F-BC26-1E50E5A19366}"/>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083ADEFC-A3D1-4A5E-A5B7-EADA515B077E}"/>
    <cellStyle name="Normal 4 2 2 3 2 2 6 2 3" xfId="12748" xr:uid="{F08E415F-C8BD-4F69-B715-DEEF1D4DC51A}"/>
    <cellStyle name="Normal 4 2 2 3 2 2 6 3" xfId="6371" xr:uid="{00000000-0005-0000-0000-000019120000}"/>
    <cellStyle name="Normal 4 2 2 3 2 2 6 3 2" xfId="14821" xr:uid="{54B33608-8D01-4739-B845-693F2346A6E0}"/>
    <cellStyle name="Normal 4 2 2 3 2 2 6 4" xfId="10603" xr:uid="{2D64970F-F1D2-4834-BFF9-5C4CA478E5C7}"/>
    <cellStyle name="Normal 4 2 2 3 2 2 7" xfId="2501" xr:uid="{00000000-0005-0000-0000-00001A120000}"/>
    <cellStyle name="Normal 4 2 2 3 2 2 7 2" xfId="6784" xr:uid="{00000000-0005-0000-0000-00001B120000}"/>
    <cellStyle name="Normal 4 2 2 3 2 2 7 2 2" xfId="15234" xr:uid="{02779937-E5A0-482B-9B0D-5832E6717622}"/>
    <cellStyle name="Normal 4 2 2 3 2 2 7 3" xfId="11016" xr:uid="{0180B9B6-B7F9-445C-9ECB-D28BEA083FCD}"/>
    <cellStyle name="Normal 4 2 2 3 2 2 8" xfId="4719" xr:uid="{00000000-0005-0000-0000-00001C120000}"/>
    <cellStyle name="Normal 4 2 2 3 2 2 8 2" xfId="13169" xr:uid="{AB6BE371-DABD-4916-BA60-810807003631}"/>
    <cellStyle name="Normal 4 2 2 3 2 2 9" xfId="8951" xr:uid="{1D6C3E8D-7D7A-4F8A-AD51-D9BC83A659B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D6CF7CA0-B7F7-4162-A170-B1752E766EBF}"/>
    <cellStyle name="Normal 4 2 2 3 2 3 2 2 3" xfId="11511" xr:uid="{C205D6BF-4FE0-4E7B-B214-98213F9E0A62}"/>
    <cellStyle name="Normal 4 2 2 3 2 3 2 3" xfId="5134" xr:uid="{00000000-0005-0000-0000-000021120000}"/>
    <cellStyle name="Normal 4 2 2 3 2 3 2 3 2" xfId="13584" xr:uid="{2FB5BCDB-730C-4E2E-8672-CA609AD84186}"/>
    <cellStyle name="Normal 4 2 2 3 2 3 2 4" xfId="9366" xr:uid="{8DF2CF5E-7AD7-4255-AD94-1DF34079690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35FFA959-D0F5-43B9-8048-A4A1F26310A0}"/>
    <cellStyle name="Normal 4 2 2 3 2 3 3 2 3" xfId="11924" xr:uid="{5977B755-97FA-4008-8A0D-B9C4A19CEBC5}"/>
    <cellStyle name="Normal 4 2 2 3 2 3 3 3" xfId="5547" xr:uid="{00000000-0005-0000-0000-000025120000}"/>
    <cellStyle name="Normal 4 2 2 3 2 3 3 3 2" xfId="13997" xr:uid="{CC652EA5-BB36-497A-8190-435B7E77BAAB}"/>
    <cellStyle name="Normal 4 2 2 3 2 3 3 4" xfId="9779" xr:uid="{AE476050-8981-49DD-AA12-9241FC33022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8F03BAF8-86E2-4F1A-A3C0-D3A0154569A5}"/>
    <cellStyle name="Normal 4 2 2 3 2 3 4 2 3" xfId="12337" xr:uid="{C735012A-2653-4BB0-9701-8ECAEF3731FF}"/>
    <cellStyle name="Normal 4 2 2 3 2 3 4 3" xfId="5960" xr:uid="{00000000-0005-0000-0000-000029120000}"/>
    <cellStyle name="Normal 4 2 2 3 2 3 4 3 2" xfId="14410" xr:uid="{5FEE0F4F-62A3-4CE6-B9DE-C299D9AC4F95}"/>
    <cellStyle name="Normal 4 2 2 3 2 3 4 4" xfId="10192" xr:uid="{0A772E00-435B-4F94-8CC3-15E85EEECB8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604A3E72-71EB-419A-A7E8-9CBE83FFE9BB}"/>
    <cellStyle name="Normal 4 2 2 3 2 3 5 2 3" xfId="12750" xr:uid="{DF335CBB-9C3D-4FDF-ADA1-F2C4AE838D5C}"/>
    <cellStyle name="Normal 4 2 2 3 2 3 5 3" xfId="6373" xr:uid="{00000000-0005-0000-0000-00002D120000}"/>
    <cellStyle name="Normal 4 2 2 3 2 3 5 3 2" xfId="14823" xr:uid="{F2147D87-9137-4A77-AC89-39123678F947}"/>
    <cellStyle name="Normal 4 2 2 3 2 3 5 4" xfId="10605" xr:uid="{78424000-E38D-4ADE-9CB2-C017E00017B2}"/>
    <cellStyle name="Normal 4 2 2 3 2 3 6" xfId="2503" xr:uid="{00000000-0005-0000-0000-00002E120000}"/>
    <cellStyle name="Normal 4 2 2 3 2 3 6 2" xfId="6786" xr:uid="{00000000-0005-0000-0000-00002F120000}"/>
    <cellStyle name="Normal 4 2 2 3 2 3 6 2 2" xfId="15236" xr:uid="{19EDAB15-4AAA-42FC-B92C-71F07063C8A2}"/>
    <cellStyle name="Normal 4 2 2 3 2 3 6 3" xfId="11018" xr:uid="{FF83E0FC-9F51-47EA-AE86-F6D668F362DC}"/>
    <cellStyle name="Normal 4 2 2 3 2 3 7" xfId="4721" xr:uid="{00000000-0005-0000-0000-000030120000}"/>
    <cellStyle name="Normal 4 2 2 3 2 3 7 2" xfId="13171" xr:uid="{C8E986B6-99E6-4295-B504-CD3199C11A0D}"/>
    <cellStyle name="Normal 4 2 2 3 2 3 8" xfId="8953" xr:uid="{8ACB0BBF-D428-4EC3-875B-3978A749936F}"/>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796EBE9B-AE7B-4D93-B7DD-D9EEF92B1D83}"/>
    <cellStyle name="Normal 4 2 2 3 2 4 2 3" xfId="11508" xr:uid="{B1E5245D-E514-439A-8259-C166B8790E5C}"/>
    <cellStyle name="Normal 4 2 2 3 2 4 3" xfId="5131" xr:uid="{00000000-0005-0000-0000-000034120000}"/>
    <cellStyle name="Normal 4 2 2 3 2 4 3 2" xfId="13581" xr:uid="{A9F17D5C-66AB-4C50-813A-4F90D44845A5}"/>
    <cellStyle name="Normal 4 2 2 3 2 4 4" xfId="9363" xr:uid="{FDBC20E7-E3BC-4E60-994D-697B2F6C5151}"/>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244998E2-E130-4CE9-92EC-A9049B4C51DF}"/>
    <cellStyle name="Normal 4 2 2 3 2 5 2 3" xfId="11921" xr:uid="{CB367A72-C21B-4699-93FB-074ED241D438}"/>
    <cellStyle name="Normal 4 2 2 3 2 5 3" xfId="5544" xr:uid="{00000000-0005-0000-0000-000038120000}"/>
    <cellStyle name="Normal 4 2 2 3 2 5 3 2" xfId="13994" xr:uid="{998F6078-B9FE-4C61-890B-EF9F5F8DD575}"/>
    <cellStyle name="Normal 4 2 2 3 2 5 4" xfId="9776" xr:uid="{CFAFEB9F-A861-4126-92E4-B7CFA9807211}"/>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E99C7DF7-E174-4364-8E13-B1FB4758810F}"/>
    <cellStyle name="Normal 4 2 2 3 2 6 2 3" xfId="12334" xr:uid="{85151D80-C842-451D-B310-9AD4095B9BC5}"/>
    <cellStyle name="Normal 4 2 2 3 2 6 3" xfId="5957" xr:uid="{00000000-0005-0000-0000-00003C120000}"/>
    <cellStyle name="Normal 4 2 2 3 2 6 3 2" xfId="14407" xr:uid="{4062438A-A08B-441C-B479-7DA5F5CEE23B}"/>
    <cellStyle name="Normal 4 2 2 3 2 6 4" xfId="10189" xr:uid="{18F0558F-0B11-4681-AD88-E531964C8EF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765AB60B-69C4-4D5E-82B8-31F7563F7BCA}"/>
    <cellStyle name="Normal 4 2 2 3 2 7 2 3" xfId="12747" xr:uid="{A33AEA1D-BD2F-4997-B2C2-352F05381BA7}"/>
    <cellStyle name="Normal 4 2 2 3 2 7 3" xfId="6370" xr:uid="{00000000-0005-0000-0000-000040120000}"/>
    <cellStyle name="Normal 4 2 2 3 2 7 3 2" xfId="14820" xr:uid="{784AB973-2524-4B39-977A-96455BB0CB78}"/>
    <cellStyle name="Normal 4 2 2 3 2 7 4" xfId="10602" xr:uid="{240B4B85-25C7-44D9-B564-955887E7E209}"/>
    <cellStyle name="Normal 4 2 2 3 2 8" xfId="2500" xr:uid="{00000000-0005-0000-0000-000041120000}"/>
    <cellStyle name="Normal 4 2 2 3 2 8 2" xfId="6783" xr:uid="{00000000-0005-0000-0000-000042120000}"/>
    <cellStyle name="Normal 4 2 2 3 2 8 2 2" xfId="15233" xr:uid="{8BD87ECC-1B3F-4F56-9DC6-C818552C4AC1}"/>
    <cellStyle name="Normal 4 2 2 3 2 8 3" xfId="11015" xr:uid="{EA131E58-0AB5-4C95-80CD-CAF420E15A9E}"/>
    <cellStyle name="Normal 4 2 2 3 2 9" xfId="4718" xr:uid="{00000000-0005-0000-0000-000043120000}"/>
    <cellStyle name="Normal 4 2 2 3 2 9 2" xfId="13168" xr:uid="{9D9845BF-1608-4DE6-8DD4-39D18304AB3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FFF8650E-7C2D-45E7-A0F8-ECCBC6744633}"/>
    <cellStyle name="Normal 4 2 2 3 3 2 2 2 3" xfId="11513" xr:uid="{12FB7775-9942-411D-8D9F-61E3FCF3B3C8}"/>
    <cellStyle name="Normal 4 2 2 3 3 2 2 3" xfId="5136" xr:uid="{00000000-0005-0000-0000-000049120000}"/>
    <cellStyle name="Normal 4 2 2 3 3 2 2 3 2" xfId="13586" xr:uid="{9C32169F-6A70-454A-8970-0C68C2CFE1E8}"/>
    <cellStyle name="Normal 4 2 2 3 3 2 2 4" xfId="9368" xr:uid="{EBABAB81-79D1-4783-AAD2-94B05FA63C6B}"/>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8E00A2A-91C0-4FF3-BF7F-D47ABE567945}"/>
    <cellStyle name="Normal 4 2 2 3 3 2 3 2 3" xfId="11926" xr:uid="{3B62D264-396E-4C46-87ED-BC31EFF59C70}"/>
    <cellStyle name="Normal 4 2 2 3 3 2 3 3" xfId="5549" xr:uid="{00000000-0005-0000-0000-00004D120000}"/>
    <cellStyle name="Normal 4 2 2 3 3 2 3 3 2" xfId="13999" xr:uid="{52291506-22A2-4F50-9BC7-1A510C544396}"/>
    <cellStyle name="Normal 4 2 2 3 3 2 3 4" xfId="9781" xr:uid="{E2FAAC18-9396-4C2F-9726-75A6FA279024}"/>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38D67F8F-00E6-4630-A89C-7E94C07955CB}"/>
    <cellStyle name="Normal 4 2 2 3 3 2 4 2 3" xfId="12339" xr:uid="{C07E78EF-0CC1-41A6-9051-BBC858851FEC}"/>
    <cellStyle name="Normal 4 2 2 3 3 2 4 3" xfId="5962" xr:uid="{00000000-0005-0000-0000-000051120000}"/>
    <cellStyle name="Normal 4 2 2 3 3 2 4 3 2" xfId="14412" xr:uid="{A867D777-F8FF-4188-86F4-99381740B076}"/>
    <cellStyle name="Normal 4 2 2 3 3 2 4 4" xfId="10194" xr:uid="{F635DA0A-1731-4AD1-83EB-00835F97598D}"/>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8DECC9D4-245A-4DCF-993A-70FF75E7E4A3}"/>
    <cellStyle name="Normal 4 2 2 3 3 2 5 2 3" xfId="12752" xr:uid="{1AC7E9D9-B305-42A6-B576-796C2DF4EAC1}"/>
    <cellStyle name="Normal 4 2 2 3 3 2 5 3" xfId="6375" xr:uid="{00000000-0005-0000-0000-000055120000}"/>
    <cellStyle name="Normal 4 2 2 3 3 2 5 3 2" xfId="14825" xr:uid="{F643838B-6197-439B-8523-F3C41E66DD4C}"/>
    <cellStyle name="Normal 4 2 2 3 3 2 5 4" xfId="10607" xr:uid="{307A040F-4BE1-4148-A5A1-29447ED31B50}"/>
    <cellStyle name="Normal 4 2 2 3 3 2 6" xfId="2505" xr:uid="{00000000-0005-0000-0000-000056120000}"/>
    <cellStyle name="Normal 4 2 2 3 3 2 6 2" xfId="6788" xr:uid="{00000000-0005-0000-0000-000057120000}"/>
    <cellStyle name="Normal 4 2 2 3 3 2 6 2 2" xfId="15238" xr:uid="{0066300C-F375-444D-8968-CF153F161289}"/>
    <cellStyle name="Normal 4 2 2 3 3 2 6 3" xfId="11020" xr:uid="{B73271ED-9078-439A-8FBE-8AAEC6A9639B}"/>
    <cellStyle name="Normal 4 2 2 3 3 2 7" xfId="4723" xr:uid="{00000000-0005-0000-0000-000058120000}"/>
    <cellStyle name="Normal 4 2 2 3 3 2 7 2" xfId="13173" xr:uid="{819ADAA5-B44C-4FC4-A125-B9C5081AB442}"/>
    <cellStyle name="Normal 4 2 2 3 3 2 8" xfId="8955" xr:uid="{7AB5223D-4AC9-4870-8DE0-F659EDB381FF}"/>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F41AE4F8-7EB2-49FA-B7D9-9CE32DF72AA6}"/>
    <cellStyle name="Normal 4 2 2 3 3 3 2 3" xfId="11512" xr:uid="{B84B1100-A91C-4AE7-A1D6-90E7F0F7BB70}"/>
    <cellStyle name="Normal 4 2 2 3 3 3 3" xfId="5135" xr:uid="{00000000-0005-0000-0000-00005C120000}"/>
    <cellStyle name="Normal 4 2 2 3 3 3 3 2" xfId="13585" xr:uid="{797FD322-850F-4E7B-9604-6087FACFE551}"/>
    <cellStyle name="Normal 4 2 2 3 3 3 4" xfId="9367" xr:uid="{B2B440BA-090D-4671-912C-1DB778DCDC3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C3BD9EBB-F618-49D6-9071-13553406E496}"/>
    <cellStyle name="Normal 4 2 2 3 3 4 2 3" xfId="11925" xr:uid="{34EB5864-F108-4E07-8D00-6B9049636F96}"/>
    <cellStyle name="Normal 4 2 2 3 3 4 3" xfId="5548" xr:uid="{00000000-0005-0000-0000-000060120000}"/>
    <cellStyle name="Normal 4 2 2 3 3 4 3 2" xfId="13998" xr:uid="{5E22AC07-B842-4BC0-858A-60609FFE0560}"/>
    <cellStyle name="Normal 4 2 2 3 3 4 4" xfId="9780" xr:uid="{85C47F21-4CD3-4DF6-A92B-AEBC9E5E824A}"/>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0CA9313E-032A-477C-9582-97828D2E5FF9}"/>
    <cellStyle name="Normal 4 2 2 3 3 5 2 3" xfId="12338" xr:uid="{8873FF6C-0FFF-40BA-B591-42E924CEC504}"/>
    <cellStyle name="Normal 4 2 2 3 3 5 3" xfId="5961" xr:uid="{00000000-0005-0000-0000-000064120000}"/>
    <cellStyle name="Normal 4 2 2 3 3 5 3 2" xfId="14411" xr:uid="{9E81FFD9-FEEE-492E-964C-5EFAF50735E7}"/>
    <cellStyle name="Normal 4 2 2 3 3 5 4" xfId="10193" xr:uid="{F83E2EA8-13AB-4907-B03F-6D67643F326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E04850F8-4396-41B1-99E0-713C3322D743}"/>
    <cellStyle name="Normal 4 2 2 3 3 6 2 3" xfId="12751" xr:uid="{B7DF8BFA-A68A-4745-BA51-5F76711B8C7B}"/>
    <cellStyle name="Normal 4 2 2 3 3 6 3" xfId="6374" xr:uid="{00000000-0005-0000-0000-000068120000}"/>
    <cellStyle name="Normal 4 2 2 3 3 6 3 2" xfId="14824" xr:uid="{D922DDB1-DB9C-436E-A5C6-ACF06B4DD153}"/>
    <cellStyle name="Normal 4 2 2 3 3 6 4" xfId="10606" xr:uid="{506D4310-3812-41B0-A949-26252FF48BB9}"/>
    <cellStyle name="Normal 4 2 2 3 3 7" xfId="2504" xr:uid="{00000000-0005-0000-0000-000069120000}"/>
    <cellStyle name="Normal 4 2 2 3 3 7 2" xfId="6787" xr:uid="{00000000-0005-0000-0000-00006A120000}"/>
    <cellStyle name="Normal 4 2 2 3 3 7 2 2" xfId="15237" xr:uid="{73C6567D-08DD-4118-82CC-3A30E2ABFA7E}"/>
    <cellStyle name="Normal 4 2 2 3 3 7 3" xfId="11019" xr:uid="{A493C053-E02F-439B-BEDA-AD7E4E750C22}"/>
    <cellStyle name="Normal 4 2 2 3 3 8" xfId="4722" xr:uid="{00000000-0005-0000-0000-00006B120000}"/>
    <cellStyle name="Normal 4 2 2 3 3 8 2" xfId="13172" xr:uid="{80AF3375-DCF4-4D28-8E69-F83950C71646}"/>
    <cellStyle name="Normal 4 2 2 3 3 9" xfId="8954" xr:uid="{8620DF84-675C-4C0B-965D-6710B050C0FE}"/>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9850EF51-0ED8-450E-B5A8-BD31302302CD}"/>
    <cellStyle name="Normal 4 2 2 3 4 2 2 3" xfId="11514" xr:uid="{42B79F58-3509-46C0-85F8-7FE5223B73F3}"/>
    <cellStyle name="Normal 4 2 2 3 4 2 3" xfId="5137" xr:uid="{00000000-0005-0000-0000-000070120000}"/>
    <cellStyle name="Normal 4 2 2 3 4 2 3 2" xfId="13587" xr:uid="{6D413FD7-0C0C-45D6-A8D8-4FDAAC090D36}"/>
    <cellStyle name="Normal 4 2 2 3 4 2 4" xfId="9369" xr:uid="{0C67FC4F-A007-4AD9-B159-D5F34E8BA3E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4DA25D24-1E1E-4824-AC26-03E43A90681C}"/>
    <cellStyle name="Normal 4 2 2 3 4 3 2 3" xfId="11927" xr:uid="{300B2C2D-69D2-4FA5-BDD6-D09DDCB0C28E}"/>
    <cellStyle name="Normal 4 2 2 3 4 3 3" xfId="5550" xr:uid="{00000000-0005-0000-0000-000074120000}"/>
    <cellStyle name="Normal 4 2 2 3 4 3 3 2" xfId="14000" xr:uid="{AC88EC18-6394-47DC-B99B-AC5CF5E1A2AF}"/>
    <cellStyle name="Normal 4 2 2 3 4 3 4" xfId="9782" xr:uid="{48308EA8-A7E0-4352-87C2-C8FB693D9C7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8DFBAC54-C1E1-4104-810C-4C545FBACFF4}"/>
    <cellStyle name="Normal 4 2 2 3 4 4 2 3" xfId="12340" xr:uid="{E290F960-A9AC-470B-A781-E657E00C0E0E}"/>
    <cellStyle name="Normal 4 2 2 3 4 4 3" xfId="5963" xr:uid="{00000000-0005-0000-0000-000078120000}"/>
    <cellStyle name="Normal 4 2 2 3 4 4 3 2" xfId="14413" xr:uid="{D10C769A-2C2F-421E-A36A-1C22D5AEF9B6}"/>
    <cellStyle name="Normal 4 2 2 3 4 4 4" xfId="10195" xr:uid="{771412F9-5C99-4051-B59F-D5BCE069599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C11FD95F-7BAF-4638-8747-EC9DE90035A0}"/>
    <cellStyle name="Normal 4 2 2 3 4 5 2 3" xfId="12753" xr:uid="{C4FDDEC5-40CB-4918-90CA-C796FEFB9477}"/>
    <cellStyle name="Normal 4 2 2 3 4 5 3" xfId="6376" xr:uid="{00000000-0005-0000-0000-00007C120000}"/>
    <cellStyle name="Normal 4 2 2 3 4 5 3 2" xfId="14826" xr:uid="{C77F6466-FC3B-4883-8AB9-0C3828AF182C}"/>
    <cellStyle name="Normal 4 2 2 3 4 5 4" xfId="10608" xr:uid="{77F154F9-3F88-4E31-B369-D684202DA653}"/>
    <cellStyle name="Normal 4 2 2 3 4 6" xfId="2506" xr:uid="{00000000-0005-0000-0000-00007D120000}"/>
    <cellStyle name="Normal 4 2 2 3 4 6 2" xfId="6789" xr:uid="{00000000-0005-0000-0000-00007E120000}"/>
    <cellStyle name="Normal 4 2 2 3 4 6 2 2" xfId="15239" xr:uid="{781CC9F5-8EFD-4E11-91A1-A040DC98A1D0}"/>
    <cellStyle name="Normal 4 2 2 3 4 6 3" xfId="11021" xr:uid="{2C6CCE8F-42B2-4AFE-BFB7-98878654F49E}"/>
    <cellStyle name="Normal 4 2 2 3 4 7" xfId="4724" xr:uid="{00000000-0005-0000-0000-00007F120000}"/>
    <cellStyle name="Normal 4 2 2 3 4 7 2" xfId="13174" xr:uid="{058FC0EC-8B23-4F63-9ECC-05BD4FAC0886}"/>
    <cellStyle name="Normal 4 2 2 3 4 8" xfId="8956" xr:uid="{A2157CC2-3159-4191-ABC8-4C6A4DB071F4}"/>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8B0885D4-A7DE-485E-BD77-90C5DA41259F}"/>
    <cellStyle name="Normal 4 2 2 3 5 2 3" xfId="11507" xr:uid="{A26D3531-2D04-4EA3-B6E9-43E0E296B508}"/>
    <cellStyle name="Normal 4 2 2 3 5 3" xfId="5130" xr:uid="{00000000-0005-0000-0000-000083120000}"/>
    <cellStyle name="Normal 4 2 2 3 5 3 2" xfId="13580" xr:uid="{102754CB-2936-4663-9A5C-7572D6C59255}"/>
    <cellStyle name="Normal 4 2 2 3 5 4" xfId="9362" xr:uid="{A3439D0A-A0FB-439A-B007-151A6A9883FA}"/>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BC84AD3D-DE09-45EF-869E-FC09D7F774F4}"/>
    <cellStyle name="Normal 4 2 2 3 6 2 3" xfId="11920" xr:uid="{9CCAA240-2973-41F6-AE2E-24BB259B082A}"/>
    <cellStyle name="Normal 4 2 2 3 6 3" xfId="5543" xr:uid="{00000000-0005-0000-0000-000087120000}"/>
    <cellStyle name="Normal 4 2 2 3 6 3 2" xfId="13993" xr:uid="{CD2094FD-B659-4684-A366-DD27A49B06C4}"/>
    <cellStyle name="Normal 4 2 2 3 6 4" xfId="9775" xr:uid="{C4A341D9-F692-406F-A0DC-58C4D98C3DFA}"/>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0218EB3A-E2AE-43FC-88B8-A28E0513BEAC}"/>
    <cellStyle name="Normal 4 2 2 3 7 2 3" xfId="12333" xr:uid="{F7045AC5-85B2-42CF-BC75-2FF38CFBC4BF}"/>
    <cellStyle name="Normal 4 2 2 3 7 3" xfId="5956" xr:uid="{00000000-0005-0000-0000-00008B120000}"/>
    <cellStyle name="Normal 4 2 2 3 7 3 2" xfId="14406" xr:uid="{4DB2053B-E286-4DCB-8859-34DE9720CDCB}"/>
    <cellStyle name="Normal 4 2 2 3 7 4" xfId="10188" xr:uid="{BA0DCF75-4B2F-4A66-8881-952A2AB9C8C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120AE886-89EC-4221-9870-16A826D18A13}"/>
    <cellStyle name="Normal 4 2 2 3 8 2 3" xfId="12746" xr:uid="{561CD235-8452-43AC-8586-8F20DF54F988}"/>
    <cellStyle name="Normal 4 2 2 3 8 3" xfId="6369" xr:uid="{00000000-0005-0000-0000-00008F120000}"/>
    <cellStyle name="Normal 4 2 2 3 8 3 2" xfId="14819" xr:uid="{5A471159-F07A-4359-8DA1-FCBEF235E717}"/>
    <cellStyle name="Normal 4 2 2 3 8 4" xfId="10601" xr:uid="{485007C3-86DE-4552-9AB6-B17A5B2056C3}"/>
    <cellStyle name="Normal 4 2 2 3 9" xfId="2499" xr:uid="{00000000-0005-0000-0000-000090120000}"/>
    <cellStyle name="Normal 4 2 2 3 9 2" xfId="6782" xr:uid="{00000000-0005-0000-0000-000091120000}"/>
    <cellStyle name="Normal 4 2 2 3 9 2 2" xfId="15232" xr:uid="{F5C424DB-E751-4D37-8835-AD6F2DA5FAF8}"/>
    <cellStyle name="Normal 4 2 2 3 9 3" xfId="11014" xr:uid="{07E98C9E-1E07-41DC-8A33-C3204381C69C}"/>
    <cellStyle name="Normal 4 2 2 4" xfId="347" xr:uid="{00000000-0005-0000-0000-000092120000}"/>
    <cellStyle name="Normal 4 2 2 4 10" xfId="8957" xr:uid="{BF6E35EC-37AA-492C-8BFF-B3284A4795B7}"/>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1B2D47D8-20D3-4782-8B35-002282CF19C8}"/>
    <cellStyle name="Normal 4 2 2 4 2 2 2 2 3" xfId="11517" xr:uid="{19637690-E1A7-4B6D-906C-BA89D6BF5B02}"/>
    <cellStyle name="Normal 4 2 2 4 2 2 2 3" xfId="5140" xr:uid="{00000000-0005-0000-0000-000098120000}"/>
    <cellStyle name="Normal 4 2 2 4 2 2 2 3 2" xfId="13590" xr:uid="{DF0C8CDE-09AA-4235-B3C8-A2C776FFF628}"/>
    <cellStyle name="Normal 4 2 2 4 2 2 2 4" xfId="9372" xr:uid="{5B164428-BAEB-4CE6-81D9-1F54AE9AC0FB}"/>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18AE2FE5-1EA3-40A3-9DE2-E436CDEDB3C7}"/>
    <cellStyle name="Normal 4 2 2 4 2 2 3 2 3" xfId="11930" xr:uid="{5BB3DC09-F0C8-4CA8-9B9C-99BB84CB5C31}"/>
    <cellStyle name="Normal 4 2 2 4 2 2 3 3" xfId="5553" xr:uid="{00000000-0005-0000-0000-00009C120000}"/>
    <cellStyle name="Normal 4 2 2 4 2 2 3 3 2" xfId="14003" xr:uid="{DAB0154A-30F4-40E6-BE44-8DA2C2D831DA}"/>
    <cellStyle name="Normal 4 2 2 4 2 2 3 4" xfId="9785" xr:uid="{DBE21333-B9BD-4B03-87D0-BC483F8C02F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BFDBE131-98BA-4DD4-9095-4E3B9B05500B}"/>
    <cellStyle name="Normal 4 2 2 4 2 2 4 2 3" xfId="12343" xr:uid="{36FF64B0-DC3E-41EC-94A7-EA7104807841}"/>
    <cellStyle name="Normal 4 2 2 4 2 2 4 3" xfId="5966" xr:uid="{00000000-0005-0000-0000-0000A0120000}"/>
    <cellStyle name="Normal 4 2 2 4 2 2 4 3 2" xfId="14416" xr:uid="{C4D54EDE-34FC-4C2F-9AA0-5A1C50672882}"/>
    <cellStyle name="Normal 4 2 2 4 2 2 4 4" xfId="10198" xr:uid="{CB197EE6-0C8C-4F5D-B6F6-80C6C5800F63}"/>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DBE8A6E1-4A39-4203-B92C-19BCB310336A}"/>
    <cellStyle name="Normal 4 2 2 4 2 2 5 2 3" xfId="12756" xr:uid="{CD80AA54-6D23-4379-8BE9-F8099D5DC835}"/>
    <cellStyle name="Normal 4 2 2 4 2 2 5 3" xfId="6379" xr:uid="{00000000-0005-0000-0000-0000A4120000}"/>
    <cellStyle name="Normal 4 2 2 4 2 2 5 3 2" xfId="14829" xr:uid="{85F93F59-DC32-48EB-B3CD-CA9399F4C196}"/>
    <cellStyle name="Normal 4 2 2 4 2 2 5 4" xfId="10611" xr:uid="{23B5C255-850E-4A2E-9220-1540392D33C8}"/>
    <cellStyle name="Normal 4 2 2 4 2 2 6" xfId="2509" xr:uid="{00000000-0005-0000-0000-0000A5120000}"/>
    <cellStyle name="Normal 4 2 2 4 2 2 6 2" xfId="6792" xr:uid="{00000000-0005-0000-0000-0000A6120000}"/>
    <cellStyle name="Normal 4 2 2 4 2 2 6 2 2" xfId="15242" xr:uid="{D540735B-485E-418E-A353-112C471F3034}"/>
    <cellStyle name="Normal 4 2 2 4 2 2 6 3" xfId="11024" xr:uid="{0B73193E-A0B8-4BA4-BF43-B3EFFC1E1802}"/>
    <cellStyle name="Normal 4 2 2 4 2 2 7" xfId="4727" xr:uid="{00000000-0005-0000-0000-0000A7120000}"/>
    <cellStyle name="Normal 4 2 2 4 2 2 7 2" xfId="13177" xr:uid="{743D963C-A5F5-4A29-9CC1-CEED13ED12F3}"/>
    <cellStyle name="Normal 4 2 2 4 2 2 8" xfId="8959" xr:uid="{F573A0B2-E43F-4B84-887B-698AFE4091C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A1759031-8A4F-4A69-9EA0-11D858B805D7}"/>
    <cellStyle name="Normal 4 2 2 4 2 3 2 3" xfId="11516" xr:uid="{D2745987-5D16-4F49-957F-5B3B3B4184E4}"/>
    <cellStyle name="Normal 4 2 2 4 2 3 3" xfId="5139" xr:uid="{00000000-0005-0000-0000-0000AB120000}"/>
    <cellStyle name="Normal 4 2 2 4 2 3 3 2" xfId="13589" xr:uid="{75BA41CC-4382-42D0-8572-BFA35F4E8D1E}"/>
    <cellStyle name="Normal 4 2 2 4 2 3 4" xfId="9371" xr:uid="{56DD80B4-2E9F-4DE8-9463-8505F93C7F0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D11AAC00-1FF3-478E-B2E7-2CE75DED3B09}"/>
    <cellStyle name="Normal 4 2 2 4 2 4 2 3" xfId="11929" xr:uid="{B1567F59-F829-4623-AFF9-3B9834ADB404}"/>
    <cellStyle name="Normal 4 2 2 4 2 4 3" xfId="5552" xr:uid="{00000000-0005-0000-0000-0000AF120000}"/>
    <cellStyle name="Normal 4 2 2 4 2 4 3 2" xfId="14002" xr:uid="{E8302073-B0F5-48EE-B72A-CBE19AA3860B}"/>
    <cellStyle name="Normal 4 2 2 4 2 4 4" xfId="9784" xr:uid="{F3B153C6-A4DF-4CE0-8564-0580AAA8BDAF}"/>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596FABF8-5B8B-4C1F-8327-F5D1751306E6}"/>
    <cellStyle name="Normal 4 2 2 4 2 5 2 3" xfId="12342" xr:uid="{9AC38467-0AA8-41B7-9858-7E6A9D057905}"/>
    <cellStyle name="Normal 4 2 2 4 2 5 3" xfId="5965" xr:uid="{00000000-0005-0000-0000-0000B3120000}"/>
    <cellStyle name="Normal 4 2 2 4 2 5 3 2" xfId="14415" xr:uid="{50FEDA6F-9BDE-44EE-A807-366D41F5930A}"/>
    <cellStyle name="Normal 4 2 2 4 2 5 4" xfId="10197" xr:uid="{2E4B2562-A9EC-4758-857E-C4F774F3D0D4}"/>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60F99C50-3DF1-4BE9-8F6C-1B90A54FB933}"/>
    <cellStyle name="Normal 4 2 2 4 2 6 2 3" xfId="12755" xr:uid="{F01DB2B2-2835-4B0C-9BC3-C6F0812C4020}"/>
    <cellStyle name="Normal 4 2 2 4 2 6 3" xfId="6378" xr:uid="{00000000-0005-0000-0000-0000B7120000}"/>
    <cellStyle name="Normal 4 2 2 4 2 6 3 2" xfId="14828" xr:uid="{4ABCB823-14CC-489F-99FB-4B795B56941C}"/>
    <cellStyle name="Normal 4 2 2 4 2 6 4" xfId="10610" xr:uid="{05A64BA6-8E56-4EC0-8BA0-7933F69C8072}"/>
    <cellStyle name="Normal 4 2 2 4 2 7" xfId="2508" xr:uid="{00000000-0005-0000-0000-0000B8120000}"/>
    <cellStyle name="Normal 4 2 2 4 2 7 2" xfId="6791" xr:uid="{00000000-0005-0000-0000-0000B9120000}"/>
    <cellStyle name="Normal 4 2 2 4 2 7 2 2" xfId="15241" xr:uid="{DF8FEA7F-5A9D-42AC-8C39-0B1C32179230}"/>
    <cellStyle name="Normal 4 2 2 4 2 7 3" xfId="11023" xr:uid="{50739FF8-B779-4A09-B449-FBBB4DB7A97B}"/>
    <cellStyle name="Normal 4 2 2 4 2 8" xfId="4726" xr:uid="{00000000-0005-0000-0000-0000BA120000}"/>
    <cellStyle name="Normal 4 2 2 4 2 8 2" xfId="13176" xr:uid="{5DE6C5D0-18B7-422B-9887-91FF72C5E227}"/>
    <cellStyle name="Normal 4 2 2 4 2 9" xfId="8958" xr:uid="{27737476-B3ED-4BB9-BF30-4F429E1605E3}"/>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DD97BBE9-4572-49E8-B6EF-E6386D1DEAB4}"/>
    <cellStyle name="Normal 4 2 2 4 3 2 2 3" xfId="11518" xr:uid="{83974E09-7A59-45C8-8ED1-5A000EFD63D8}"/>
    <cellStyle name="Normal 4 2 2 4 3 2 3" xfId="5141" xr:uid="{00000000-0005-0000-0000-0000BF120000}"/>
    <cellStyle name="Normal 4 2 2 4 3 2 3 2" xfId="13591" xr:uid="{D7AC3FE7-A2A8-4AD1-A61B-AA35E1EF2B70}"/>
    <cellStyle name="Normal 4 2 2 4 3 2 4" xfId="9373" xr:uid="{B5B1EFD5-987B-4EE5-B5F5-81B35D02B46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1F14CBC6-8A89-4A1B-AF35-2FD4B12585F9}"/>
    <cellStyle name="Normal 4 2 2 4 3 3 2 3" xfId="11931" xr:uid="{C981D843-CA9A-461C-A50F-E821AE7A506C}"/>
    <cellStyle name="Normal 4 2 2 4 3 3 3" xfId="5554" xr:uid="{00000000-0005-0000-0000-0000C3120000}"/>
    <cellStyle name="Normal 4 2 2 4 3 3 3 2" xfId="14004" xr:uid="{634F597A-4B2F-4313-A806-1880C74C5D8A}"/>
    <cellStyle name="Normal 4 2 2 4 3 3 4" xfId="9786" xr:uid="{31316F3E-1DFF-4DC4-AE3D-91F81D306BA6}"/>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5B8208B3-806D-4932-BC16-3D9C7E681673}"/>
    <cellStyle name="Normal 4 2 2 4 3 4 2 3" xfId="12344" xr:uid="{913C1C0D-FAA5-4248-A7AD-38E7A9EE6CD2}"/>
    <cellStyle name="Normal 4 2 2 4 3 4 3" xfId="5967" xr:uid="{00000000-0005-0000-0000-0000C7120000}"/>
    <cellStyle name="Normal 4 2 2 4 3 4 3 2" xfId="14417" xr:uid="{430B39AD-3B22-41D5-B1FD-873897740645}"/>
    <cellStyle name="Normal 4 2 2 4 3 4 4" xfId="10199" xr:uid="{CEF246B0-9299-4E14-AD00-F749D9DFD30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B901C334-88AD-4773-9C5D-34899AA90021}"/>
    <cellStyle name="Normal 4 2 2 4 3 5 2 3" xfId="12757" xr:uid="{376A8CBC-C328-4500-8707-9C76361C77CE}"/>
    <cellStyle name="Normal 4 2 2 4 3 5 3" xfId="6380" xr:uid="{00000000-0005-0000-0000-0000CB120000}"/>
    <cellStyle name="Normal 4 2 2 4 3 5 3 2" xfId="14830" xr:uid="{CDEE3118-3F51-491D-B9F7-2597E8B324E7}"/>
    <cellStyle name="Normal 4 2 2 4 3 5 4" xfId="10612" xr:uid="{C191B7FF-833A-4DB1-9A00-B129DC1F48A9}"/>
    <cellStyle name="Normal 4 2 2 4 3 6" xfId="2510" xr:uid="{00000000-0005-0000-0000-0000CC120000}"/>
    <cellStyle name="Normal 4 2 2 4 3 6 2" xfId="6793" xr:uid="{00000000-0005-0000-0000-0000CD120000}"/>
    <cellStyle name="Normal 4 2 2 4 3 6 2 2" xfId="15243" xr:uid="{DF68188F-E53A-4C9A-B52A-D8B6A224F84E}"/>
    <cellStyle name="Normal 4 2 2 4 3 6 3" xfId="11025" xr:uid="{4409C091-A691-4612-988B-4397BA308F91}"/>
    <cellStyle name="Normal 4 2 2 4 3 7" xfId="4728" xr:uid="{00000000-0005-0000-0000-0000CE120000}"/>
    <cellStyle name="Normal 4 2 2 4 3 7 2" xfId="13178" xr:uid="{D3FE8F4B-86B1-4394-8FB4-5BD980F1DB87}"/>
    <cellStyle name="Normal 4 2 2 4 3 8" xfId="8960" xr:uid="{986F83E2-2C33-422E-ACCA-12FA06A01BCB}"/>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75C9464E-8D02-4150-8271-0A83C3AB7C6C}"/>
    <cellStyle name="Normal 4 2 2 4 4 2 3" xfId="11515" xr:uid="{486D2A78-D8B3-4235-9A18-D06A5AFB5593}"/>
    <cellStyle name="Normal 4 2 2 4 4 3" xfId="5138" xr:uid="{00000000-0005-0000-0000-0000D2120000}"/>
    <cellStyle name="Normal 4 2 2 4 4 3 2" xfId="13588" xr:uid="{C190C900-F582-446F-8DDC-A5C6B839F241}"/>
    <cellStyle name="Normal 4 2 2 4 4 4" xfId="9370" xr:uid="{C60C53A5-3166-4A8B-B83C-CC88D10DDC8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BF4AAFB5-6AC1-4228-BDC7-B7A0FF25F465}"/>
    <cellStyle name="Normal 4 2 2 4 5 2 3" xfId="11928" xr:uid="{1E4E9BE1-E3AA-459C-92CF-C189B1497B18}"/>
    <cellStyle name="Normal 4 2 2 4 5 3" xfId="5551" xr:uid="{00000000-0005-0000-0000-0000D6120000}"/>
    <cellStyle name="Normal 4 2 2 4 5 3 2" xfId="14001" xr:uid="{95C3EEED-9E84-4C37-9FD2-06F4F3AA3DCC}"/>
    <cellStyle name="Normal 4 2 2 4 5 4" xfId="9783" xr:uid="{5304CFF4-EFA6-4AC9-9687-13916D2092CC}"/>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A7D5D0F0-23ED-4E69-A8DF-755BBE600BD8}"/>
    <cellStyle name="Normal 4 2 2 4 6 2 3" xfId="12341" xr:uid="{457A306E-DF8C-4E4B-B055-44F3B2ECD23E}"/>
    <cellStyle name="Normal 4 2 2 4 6 3" xfId="5964" xr:uid="{00000000-0005-0000-0000-0000DA120000}"/>
    <cellStyle name="Normal 4 2 2 4 6 3 2" xfId="14414" xr:uid="{13F85057-C618-4948-8F8C-C0E11DD6D38C}"/>
    <cellStyle name="Normal 4 2 2 4 6 4" xfId="10196" xr:uid="{AE6AB470-C99D-430F-A161-68F7CA19C60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80741C4A-8C8D-4438-9B89-95D5369E2266}"/>
    <cellStyle name="Normal 4 2 2 4 7 2 3" xfId="12754" xr:uid="{5A98F1BA-C843-4156-BEFE-F971F751479C}"/>
    <cellStyle name="Normal 4 2 2 4 7 3" xfId="6377" xr:uid="{00000000-0005-0000-0000-0000DE120000}"/>
    <cellStyle name="Normal 4 2 2 4 7 3 2" xfId="14827" xr:uid="{58F8C9EF-29F7-484E-9701-858A0E46DE90}"/>
    <cellStyle name="Normal 4 2 2 4 7 4" xfId="10609" xr:uid="{4492B131-4D4D-4BB6-B36F-ACC9D724059F}"/>
    <cellStyle name="Normal 4 2 2 4 8" xfId="2507" xr:uid="{00000000-0005-0000-0000-0000DF120000}"/>
    <cellStyle name="Normal 4 2 2 4 8 2" xfId="6790" xr:uid="{00000000-0005-0000-0000-0000E0120000}"/>
    <cellStyle name="Normal 4 2 2 4 8 2 2" xfId="15240" xr:uid="{6702A552-D3D9-4A1D-9F5E-29731450B2E2}"/>
    <cellStyle name="Normal 4 2 2 4 8 3" xfId="11022" xr:uid="{458B6BCF-2E8F-4CEF-B7FB-1B9588429A98}"/>
    <cellStyle name="Normal 4 2 2 4 9" xfId="4725" xr:uid="{00000000-0005-0000-0000-0000E1120000}"/>
    <cellStyle name="Normal 4 2 2 4 9 2" xfId="13175" xr:uid="{C586429B-8EA4-404E-AEDE-3B5143CEE0A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7E2DA5DE-D7DA-4C2A-8970-BA0083F9E43D}"/>
    <cellStyle name="Normal 4 2 2 5 2 2 2 3" xfId="11520" xr:uid="{251A2E62-F380-41AE-B75D-055D994A6FD2}"/>
    <cellStyle name="Normal 4 2 2 5 2 2 3" xfId="5143" xr:uid="{00000000-0005-0000-0000-0000E7120000}"/>
    <cellStyle name="Normal 4 2 2 5 2 2 3 2" xfId="13593" xr:uid="{2327D8F8-439E-4F8F-AF96-155E29D067CD}"/>
    <cellStyle name="Normal 4 2 2 5 2 2 4" xfId="9375" xr:uid="{F5599B5C-1A67-4829-A8BB-F1B0F5FA1D4C}"/>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EE3BF289-4B85-4418-B42F-F60C0756ADA5}"/>
    <cellStyle name="Normal 4 2 2 5 2 3 2 3" xfId="11933" xr:uid="{C11BCA19-584E-48EB-8F44-4B6F65A40717}"/>
    <cellStyle name="Normal 4 2 2 5 2 3 3" xfId="5556" xr:uid="{00000000-0005-0000-0000-0000EB120000}"/>
    <cellStyle name="Normal 4 2 2 5 2 3 3 2" xfId="14006" xr:uid="{AA0DD87E-9E92-47D5-8F66-8CD9CC364744}"/>
    <cellStyle name="Normal 4 2 2 5 2 3 4" xfId="9788" xr:uid="{1FD3944B-D3D3-4D79-8A39-3D36F2CDA81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35A9DD03-AB64-4F4C-A353-17070D76218D}"/>
    <cellStyle name="Normal 4 2 2 5 2 4 2 3" xfId="12346" xr:uid="{FD5426D6-C468-4975-A7A4-9A01E289AAB9}"/>
    <cellStyle name="Normal 4 2 2 5 2 4 3" xfId="5969" xr:uid="{00000000-0005-0000-0000-0000EF120000}"/>
    <cellStyle name="Normal 4 2 2 5 2 4 3 2" xfId="14419" xr:uid="{95475DC5-AD61-4581-BCA3-261DC09D909E}"/>
    <cellStyle name="Normal 4 2 2 5 2 4 4" xfId="10201" xr:uid="{625FF583-EA26-4862-B8A0-8A5CF37E7F27}"/>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10FB8573-7439-4D88-BC6B-F1FE0C9513D4}"/>
    <cellStyle name="Normal 4 2 2 5 2 5 2 3" xfId="12759" xr:uid="{FA97288F-57CE-4BDD-8EEA-08A397FB87B2}"/>
    <cellStyle name="Normal 4 2 2 5 2 5 3" xfId="6382" xr:uid="{00000000-0005-0000-0000-0000F3120000}"/>
    <cellStyle name="Normal 4 2 2 5 2 5 3 2" xfId="14832" xr:uid="{20A5134C-4D32-4180-B701-342E6DED077B}"/>
    <cellStyle name="Normal 4 2 2 5 2 5 4" xfId="10614" xr:uid="{79E13487-F51A-4E4C-B4B4-E018B19EE55A}"/>
    <cellStyle name="Normal 4 2 2 5 2 6" xfId="2512" xr:uid="{00000000-0005-0000-0000-0000F4120000}"/>
    <cellStyle name="Normal 4 2 2 5 2 6 2" xfId="6795" xr:uid="{00000000-0005-0000-0000-0000F5120000}"/>
    <cellStyle name="Normal 4 2 2 5 2 6 2 2" xfId="15245" xr:uid="{8387AFCF-7D18-42B9-AD5C-65FF8893553D}"/>
    <cellStyle name="Normal 4 2 2 5 2 6 3" xfId="11027" xr:uid="{39B92CD5-0B93-40AA-8C31-0FD0B9B116DB}"/>
    <cellStyle name="Normal 4 2 2 5 2 7" xfId="4730" xr:uid="{00000000-0005-0000-0000-0000F6120000}"/>
    <cellStyle name="Normal 4 2 2 5 2 7 2" xfId="13180" xr:uid="{97AB2374-F3E6-40BD-B672-84E6E18309A3}"/>
    <cellStyle name="Normal 4 2 2 5 2 8" xfId="8962" xr:uid="{7E786740-2E25-4ACA-B0B1-40FDA83D40DB}"/>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93FC60A4-2F79-40E4-820E-694DE32D992B}"/>
    <cellStyle name="Normal 4 2 2 5 3 2 3" xfId="11519" xr:uid="{B958F35F-5198-46D0-AAFF-32C6F5715A82}"/>
    <cellStyle name="Normal 4 2 2 5 3 3" xfId="5142" xr:uid="{00000000-0005-0000-0000-0000FA120000}"/>
    <cellStyle name="Normal 4 2 2 5 3 3 2" xfId="13592" xr:uid="{552F0103-311A-4E76-9BD5-A1C8F1B3AEAB}"/>
    <cellStyle name="Normal 4 2 2 5 3 4" xfId="9374" xr:uid="{A801AE15-872B-4A2B-BF2F-50DDCCDC3FE4}"/>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3697DB49-B593-4E72-B521-6F0355F60A37}"/>
    <cellStyle name="Normal 4 2 2 5 4 2 3" xfId="11932" xr:uid="{F102B119-2817-4951-AB22-3514D59D0ED5}"/>
    <cellStyle name="Normal 4 2 2 5 4 3" xfId="5555" xr:uid="{00000000-0005-0000-0000-0000FE120000}"/>
    <cellStyle name="Normal 4 2 2 5 4 3 2" xfId="14005" xr:uid="{4638C6A0-BEF1-4ADA-B3AE-35019E18D794}"/>
    <cellStyle name="Normal 4 2 2 5 4 4" xfId="9787" xr:uid="{254788BB-0048-4B91-B5A0-E9428D86336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E6301C4-5E25-4ED1-A782-6C23F575286E}"/>
    <cellStyle name="Normal 4 2 2 5 5 2 3" xfId="12345" xr:uid="{B4456DD3-E762-40D1-8AC1-CD2E028DEFBE}"/>
    <cellStyle name="Normal 4 2 2 5 5 3" xfId="5968" xr:uid="{00000000-0005-0000-0000-000002130000}"/>
    <cellStyle name="Normal 4 2 2 5 5 3 2" xfId="14418" xr:uid="{BEDBF757-53A4-4856-B350-437B8BDB1E71}"/>
    <cellStyle name="Normal 4 2 2 5 5 4" xfId="10200" xr:uid="{47A3BCB8-D45F-4656-A339-BAA8E3946A7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D8980374-0AB9-4033-8E66-9D9FA13C6612}"/>
    <cellStyle name="Normal 4 2 2 5 6 2 3" xfId="12758" xr:uid="{FA1BB372-D169-4EEC-9E56-B54C585DB6C4}"/>
    <cellStyle name="Normal 4 2 2 5 6 3" xfId="6381" xr:uid="{00000000-0005-0000-0000-000006130000}"/>
    <cellStyle name="Normal 4 2 2 5 6 3 2" xfId="14831" xr:uid="{7A108F25-25B4-48AE-8976-9A84639F33B4}"/>
    <cellStyle name="Normal 4 2 2 5 6 4" xfId="10613" xr:uid="{3EF00DB0-C3B7-4EAD-9589-C869F2C2141C}"/>
    <cellStyle name="Normal 4 2 2 5 7" xfId="2511" xr:uid="{00000000-0005-0000-0000-000007130000}"/>
    <cellStyle name="Normal 4 2 2 5 7 2" xfId="6794" xr:uid="{00000000-0005-0000-0000-000008130000}"/>
    <cellStyle name="Normal 4 2 2 5 7 2 2" xfId="15244" xr:uid="{B2D18263-B523-40BB-9AB5-31D8A1DA3C1F}"/>
    <cellStyle name="Normal 4 2 2 5 7 3" xfId="11026" xr:uid="{6084422D-6A98-402D-B2FD-17176506D5A8}"/>
    <cellStyle name="Normal 4 2 2 5 8" xfId="4729" xr:uid="{00000000-0005-0000-0000-000009130000}"/>
    <cellStyle name="Normal 4 2 2 5 8 2" xfId="13179" xr:uid="{DB72D547-AECA-4DCC-8A02-119F4BD505F9}"/>
    <cellStyle name="Normal 4 2 2 5 9" xfId="8961" xr:uid="{D57D7012-6539-4EEC-A543-ED4E1A6DD69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F1C2B9A5-A52A-4232-BEB8-62497BE7108A}"/>
    <cellStyle name="Normal 4 2 2 6 2 2 3" xfId="11521" xr:uid="{B1395339-4CFC-4DAE-8569-79731573358D}"/>
    <cellStyle name="Normal 4 2 2 6 2 3" xfId="5144" xr:uid="{00000000-0005-0000-0000-00000E130000}"/>
    <cellStyle name="Normal 4 2 2 6 2 3 2" xfId="13594" xr:uid="{358FEBBD-8467-4597-811C-890ED2F6FCFE}"/>
    <cellStyle name="Normal 4 2 2 6 2 4" xfId="9376" xr:uid="{0BCD8008-5D04-4E2D-BA4C-AD94352A1219}"/>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0375FD74-5656-47F0-937A-AD67695F760E}"/>
    <cellStyle name="Normal 4 2 2 6 3 2 3" xfId="11934" xr:uid="{92CBD11E-74C7-4425-9E7B-6E26805D1CB0}"/>
    <cellStyle name="Normal 4 2 2 6 3 3" xfId="5557" xr:uid="{00000000-0005-0000-0000-000012130000}"/>
    <cellStyle name="Normal 4 2 2 6 3 3 2" xfId="14007" xr:uid="{08A4542F-0151-439C-B911-D3E1C6AA02DA}"/>
    <cellStyle name="Normal 4 2 2 6 3 4" xfId="9789" xr:uid="{02636239-DB4A-4AC9-BD76-7B45B038C8C5}"/>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2DDD39AE-0004-4272-A0C8-B417D0D437E1}"/>
    <cellStyle name="Normal 4 2 2 6 4 2 3" xfId="12347" xr:uid="{2A66E4D5-371D-46E1-A5F9-2B1C26BA66B4}"/>
    <cellStyle name="Normal 4 2 2 6 4 3" xfId="5970" xr:uid="{00000000-0005-0000-0000-000016130000}"/>
    <cellStyle name="Normal 4 2 2 6 4 3 2" xfId="14420" xr:uid="{05E610B3-F639-4B11-8522-3634C1B0B0CE}"/>
    <cellStyle name="Normal 4 2 2 6 4 4" xfId="10202" xr:uid="{3AB398CC-E5CB-4453-89BD-6E544BB6425D}"/>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F1B844B8-6268-481B-A68E-906B80FB96AB}"/>
    <cellStyle name="Normal 4 2 2 6 5 2 3" xfId="12760" xr:uid="{66BB9ED4-EE87-42E7-A17D-13761C9AB0BF}"/>
    <cellStyle name="Normal 4 2 2 6 5 3" xfId="6383" xr:uid="{00000000-0005-0000-0000-00001A130000}"/>
    <cellStyle name="Normal 4 2 2 6 5 3 2" xfId="14833" xr:uid="{0BB6C27E-8967-481C-9602-554E02BF47E4}"/>
    <cellStyle name="Normal 4 2 2 6 5 4" xfId="10615" xr:uid="{98A75D9C-C337-457E-92CE-ED1948A1A0D9}"/>
    <cellStyle name="Normal 4 2 2 6 6" xfId="2513" xr:uid="{00000000-0005-0000-0000-00001B130000}"/>
    <cellStyle name="Normal 4 2 2 6 6 2" xfId="6796" xr:uid="{00000000-0005-0000-0000-00001C130000}"/>
    <cellStyle name="Normal 4 2 2 6 6 2 2" xfId="15246" xr:uid="{4C2414B5-2215-4F6F-B039-7183A5AE9989}"/>
    <cellStyle name="Normal 4 2 2 6 6 3" xfId="11028" xr:uid="{D5773724-7212-4132-B289-4C6DC36B986C}"/>
    <cellStyle name="Normal 4 2 2 6 7" xfId="4731" xr:uid="{00000000-0005-0000-0000-00001D130000}"/>
    <cellStyle name="Normal 4 2 2 6 7 2" xfId="13181" xr:uid="{EEE784DB-18B9-43A0-BFEF-BC67CD4ED3D3}"/>
    <cellStyle name="Normal 4 2 2 6 8" xfId="8963" xr:uid="{99A80804-D8E6-47B7-B0A4-3C03BDEE7D9D}"/>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A354E91F-FBB5-4408-89D9-76205F35D792}"/>
    <cellStyle name="Normal 4 2 2 7 2 3" xfId="11506" xr:uid="{342EF47A-B2F0-43A6-8F51-8687E0E5F7A1}"/>
    <cellStyle name="Normal 4 2 2 7 3" xfId="5129" xr:uid="{00000000-0005-0000-0000-000021130000}"/>
    <cellStyle name="Normal 4 2 2 7 3 2" xfId="13579" xr:uid="{2582D65F-5919-4582-89D1-90356710A403}"/>
    <cellStyle name="Normal 4 2 2 7 4" xfId="9361" xr:uid="{525AE258-B68F-4CA8-B176-7B65F1B4BAC1}"/>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A7495D81-5E98-4B99-9188-402144735686}"/>
    <cellStyle name="Normal 4 2 2 8 2 3" xfId="11919" xr:uid="{E153F7D5-733C-43EE-B767-B87847BFA4AE}"/>
    <cellStyle name="Normal 4 2 2 8 3" xfId="5542" xr:uid="{00000000-0005-0000-0000-000025130000}"/>
    <cellStyle name="Normal 4 2 2 8 3 2" xfId="13992" xr:uid="{46898ACB-5164-402E-897B-3C40A4DFC246}"/>
    <cellStyle name="Normal 4 2 2 8 4" xfId="9774" xr:uid="{9190A8A4-B746-4A9B-AD44-0947F3031AD6}"/>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642F9725-0CFD-4A36-B010-777D3FDC9DF4}"/>
    <cellStyle name="Normal 4 2 2 9 2 3" xfId="12332" xr:uid="{D401B9A7-C976-4F9F-9EE6-4FC8CB6378B8}"/>
    <cellStyle name="Normal 4 2 2 9 3" xfId="5955" xr:uid="{00000000-0005-0000-0000-000029130000}"/>
    <cellStyle name="Normal 4 2 2 9 3 2" xfId="14405" xr:uid="{7C51DB65-D757-4425-A0BD-D78DE16F658E}"/>
    <cellStyle name="Normal 4 2 2 9 4" xfId="10187" xr:uid="{2A332DA5-B88C-469A-8B25-C023BBE9AABE}"/>
    <cellStyle name="Normal 4 2 3" xfId="354" xr:uid="{00000000-0005-0000-0000-00002A130000}"/>
    <cellStyle name="Normal 4 2 4" xfId="355" xr:uid="{00000000-0005-0000-0000-00002B130000}"/>
    <cellStyle name="Normal 4 2 4 10" xfId="4732" xr:uid="{00000000-0005-0000-0000-00002C130000}"/>
    <cellStyle name="Normal 4 2 4 10 2" xfId="13182" xr:uid="{E48312BE-B691-453C-A899-E9E4447D5705}"/>
    <cellStyle name="Normal 4 2 4 11" xfId="8964" xr:uid="{64D91B7E-C073-40BF-A35D-3DF2E557EA55}"/>
    <cellStyle name="Normal 4 2 4 2" xfId="356" xr:uid="{00000000-0005-0000-0000-00002D130000}"/>
    <cellStyle name="Normal 4 2 4 2 10" xfId="8965" xr:uid="{42747B07-0EA7-46C0-83FF-7CCCB678B3C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09C1938D-77C0-4A25-B7FE-BB836543C6D6}"/>
    <cellStyle name="Normal 4 2 4 2 2 2 2 2 3" xfId="11525" xr:uid="{B5C8006A-B3D8-4E47-BC7B-AE94AA4C47AB}"/>
    <cellStyle name="Normal 4 2 4 2 2 2 2 3" xfId="5148" xr:uid="{00000000-0005-0000-0000-000033130000}"/>
    <cellStyle name="Normal 4 2 4 2 2 2 2 3 2" xfId="13598" xr:uid="{9291648B-FD90-4419-B35F-4B120619F074}"/>
    <cellStyle name="Normal 4 2 4 2 2 2 2 4" xfId="9380" xr:uid="{1F9150B8-2E93-4717-9E5F-D0B58B081691}"/>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DEB78C6C-03CC-4BF7-9429-61D1C8164894}"/>
    <cellStyle name="Normal 4 2 4 2 2 2 3 2 3" xfId="11938" xr:uid="{98489B42-A848-4B71-9181-546135B5D2EB}"/>
    <cellStyle name="Normal 4 2 4 2 2 2 3 3" xfId="5561" xr:uid="{00000000-0005-0000-0000-000037130000}"/>
    <cellStyle name="Normal 4 2 4 2 2 2 3 3 2" xfId="14011" xr:uid="{E89D0728-E422-4A5D-9BC1-875E7709696E}"/>
    <cellStyle name="Normal 4 2 4 2 2 2 3 4" xfId="9793" xr:uid="{B4E11B22-6296-40E4-8DAD-879414C31892}"/>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FF3BCC61-7980-4422-9CB2-45E787441BE2}"/>
    <cellStyle name="Normal 4 2 4 2 2 2 4 2 3" xfId="12351" xr:uid="{9B697F56-CF1B-4A27-8D2A-A3DD0F70A6BC}"/>
    <cellStyle name="Normal 4 2 4 2 2 2 4 3" xfId="5974" xr:uid="{00000000-0005-0000-0000-00003B130000}"/>
    <cellStyle name="Normal 4 2 4 2 2 2 4 3 2" xfId="14424" xr:uid="{072DAE44-1A3F-4B7E-B8F4-6E97452927C3}"/>
    <cellStyle name="Normal 4 2 4 2 2 2 4 4" xfId="10206" xr:uid="{BEE82A4E-1901-49E6-B12C-9099D42A0AC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E4BC00B9-022C-4FCA-B960-9A28B5DF3314}"/>
    <cellStyle name="Normal 4 2 4 2 2 2 5 2 3" xfId="12764" xr:uid="{513B71F7-94B4-4CB9-8AA7-22868B09FDB0}"/>
    <cellStyle name="Normal 4 2 4 2 2 2 5 3" xfId="6387" xr:uid="{00000000-0005-0000-0000-00003F130000}"/>
    <cellStyle name="Normal 4 2 4 2 2 2 5 3 2" xfId="14837" xr:uid="{9C8F7AD3-AAB7-4453-A2DB-D992D167BD8D}"/>
    <cellStyle name="Normal 4 2 4 2 2 2 5 4" xfId="10619" xr:uid="{2AFF2D43-A824-4B10-87B9-8B3D8CD4AAD2}"/>
    <cellStyle name="Normal 4 2 4 2 2 2 6" xfId="2517" xr:uid="{00000000-0005-0000-0000-000040130000}"/>
    <cellStyle name="Normal 4 2 4 2 2 2 6 2" xfId="6800" xr:uid="{00000000-0005-0000-0000-000041130000}"/>
    <cellStyle name="Normal 4 2 4 2 2 2 6 2 2" xfId="15250" xr:uid="{9E3DD965-C1EF-465A-B19A-8C56B5206E4F}"/>
    <cellStyle name="Normal 4 2 4 2 2 2 6 3" xfId="11032" xr:uid="{7D73583E-675B-49AF-84AD-6623B6AFA260}"/>
    <cellStyle name="Normal 4 2 4 2 2 2 7" xfId="4735" xr:uid="{00000000-0005-0000-0000-000042130000}"/>
    <cellStyle name="Normal 4 2 4 2 2 2 7 2" xfId="13185" xr:uid="{B270079D-09D5-423A-AD9A-FCBE8DFF052C}"/>
    <cellStyle name="Normal 4 2 4 2 2 2 8" xfId="8967" xr:uid="{837571F9-86CB-42E5-AF1D-E169AF11C07E}"/>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75D0346F-B448-48A1-8198-3929A6FF8877}"/>
    <cellStyle name="Normal 4 2 4 2 2 3 2 3" xfId="11524" xr:uid="{CA8B9671-25CC-40F3-9200-77DB333214D5}"/>
    <cellStyle name="Normal 4 2 4 2 2 3 3" xfId="5147" xr:uid="{00000000-0005-0000-0000-000046130000}"/>
    <cellStyle name="Normal 4 2 4 2 2 3 3 2" xfId="13597" xr:uid="{0067C775-68C9-4387-9978-99E3C29A1D15}"/>
    <cellStyle name="Normal 4 2 4 2 2 3 4" xfId="9379" xr:uid="{E022B218-328E-4F5A-BEC7-F6971C69AE1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0A917B02-829A-44FC-8693-B501FF8F55D4}"/>
    <cellStyle name="Normal 4 2 4 2 2 4 2 3" xfId="11937" xr:uid="{F0141563-32A6-4264-91E6-34D40215AB7D}"/>
    <cellStyle name="Normal 4 2 4 2 2 4 3" xfId="5560" xr:uid="{00000000-0005-0000-0000-00004A130000}"/>
    <cellStyle name="Normal 4 2 4 2 2 4 3 2" xfId="14010" xr:uid="{9E34DFDB-D6B3-4843-83F8-F5EDA89088F6}"/>
    <cellStyle name="Normal 4 2 4 2 2 4 4" xfId="9792" xr:uid="{EB63C613-8A82-49B5-8520-65A4142F9CE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7C5BEC25-49ED-42C3-88ED-E70322DF1DE0}"/>
    <cellStyle name="Normal 4 2 4 2 2 5 2 3" xfId="12350" xr:uid="{B713C6F6-595C-4204-B83E-FC4D542C0688}"/>
    <cellStyle name="Normal 4 2 4 2 2 5 3" xfId="5973" xr:uid="{00000000-0005-0000-0000-00004E130000}"/>
    <cellStyle name="Normal 4 2 4 2 2 5 3 2" xfId="14423" xr:uid="{3C4348DC-0407-4E6D-9A4D-4FAD8FC84241}"/>
    <cellStyle name="Normal 4 2 4 2 2 5 4" xfId="10205" xr:uid="{44842768-884F-4BDE-BCB2-C896CB124FC8}"/>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86868C53-9A09-4559-914D-16D4662B995F}"/>
    <cellStyle name="Normal 4 2 4 2 2 6 2 3" xfId="12763" xr:uid="{9E1EB0F1-AEBC-416F-B5FA-A53A510CB99D}"/>
    <cellStyle name="Normal 4 2 4 2 2 6 3" xfId="6386" xr:uid="{00000000-0005-0000-0000-000052130000}"/>
    <cellStyle name="Normal 4 2 4 2 2 6 3 2" xfId="14836" xr:uid="{C3D07B72-85C2-4E54-A520-8E90F4C9F1DE}"/>
    <cellStyle name="Normal 4 2 4 2 2 6 4" xfId="10618" xr:uid="{F56568DE-EBEC-4C49-82BC-9A2F935EDFFE}"/>
    <cellStyle name="Normal 4 2 4 2 2 7" xfId="2516" xr:uid="{00000000-0005-0000-0000-000053130000}"/>
    <cellStyle name="Normal 4 2 4 2 2 7 2" xfId="6799" xr:uid="{00000000-0005-0000-0000-000054130000}"/>
    <cellStyle name="Normal 4 2 4 2 2 7 2 2" xfId="15249" xr:uid="{9DE204D3-53AF-42A1-92C0-E369C3D890AB}"/>
    <cellStyle name="Normal 4 2 4 2 2 7 3" xfId="11031" xr:uid="{5CCD8886-D883-43A2-8967-6833AD55552E}"/>
    <cellStyle name="Normal 4 2 4 2 2 8" xfId="4734" xr:uid="{00000000-0005-0000-0000-000055130000}"/>
    <cellStyle name="Normal 4 2 4 2 2 8 2" xfId="13184" xr:uid="{35BB87AE-344D-4065-A794-8D8A864D2E50}"/>
    <cellStyle name="Normal 4 2 4 2 2 9" xfId="8966" xr:uid="{04229471-2651-41F2-B601-9DA4E515245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9AE5622F-3A63-4DDB-B464-27FA6F793BDF}"/>
    <cellStyle name="Normal 4 2 4 2 3 2 2 3" xfId="11526" xr:uid="{6B33CB33-5C8B-454E-AF15-63E619DE6466}"/>
    <cellStyle name="Normal 4 2 4 2 3 2 3" xfId="5149" xr:uid="{00000000-0005-0000-0000-00005A130000}"/>
    <cellStyle name="Normal 4 2 4 2 3 2 3 2" xfId="13599" xr:uid="{759BC225-94E5-47C7-835F-6D9F5F100D81}"/>
    <cellStyle name="Normal 4 2 4 2 3 2 4" xfId="9381" xr:uid="{FC180104-0D95-4115-A6BC-4BBE889AC27D}"/>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8B5202C3-FB40-4248-998C-9B927CF78650}"/>
    <cellStyle name="Normal 4 2 4 2 3 3 2 3" xfId="11939" xr:uid="{8E197154-A76A-432C-B09D-624A37C7F305}"/>
    <cellStyle name="Normal 4 2 4 2 3 3 3" xfId="5562" xr:uid="{00000000-0005-0000-0000-00005E130000}"/>
    <cellStyle name="Normal 4 2 4 2 3 3 3 2" xfId="14012" xr:uid="{12C084C9-0889-420C-8B98-9DFC57199C8B}"/>
    <cellStyle name="Normal 4 2 4 2 3 3 4" xfId="9794" xr:uid="{BDA0B05B-3076-4537-ADF4-65FD628341ED}"/>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D9C93947-58C7-4EF8-A3FF-64F0E6AA258F}"/>
    <cellStyle name="Normal 4 2 4 2 3 4 2 3" xfId="12352" xr:uid="{79CE0219-877A-4B68-82EA-2C6F9383857E}"/>
    <cellStyle name="Normal 4 2 4 2 3 4 3" xfId="5975" xr:uid="{00000000-0005-0000-0000-000062130000}"/>
    <cellStyle name="Normal 4 2 4 2 3 4 3 2" xfId="14425" xr:uid="{F4C879E7-4B85-4340-98D5-E43E8084CABA}"/>
    <cellStyle name="Normal 4 2 4 2 3 4 4" xfId="10207" xr:uid="{959A5EED-B215-455A-8BE0-1485BCC4D0B6}"/>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84A6CA8C-A874-4D22-AEDC-2C315F0BA8A3}"/>
    <cellStyle name="Normal 4 2 4 2 3 5 2 3" xfId="12765" xr:uid="{6F4F8F6C-26A9-42A8-B1A2-173FD2B6AB11}"/>
    <cellStyle name="Normal 4 2 4 2 3 5 3" xfId="6388" xr:uid="{00000000-0005-0000-0000-000066130000}"/>
    <cellStyle name="Normal 4 2 4 2 3 5 3 2" xfId="14838" xr:uid="{36C0338A-5B34-4A86-AADB-8683C687B621}"/>
    <cellStyle name="Normal 4 2 4 2 3 5 4" xfId="10620" xr:uid="{E78A03DD-728A-4005-B68F-2EB40C2E017D}"/>
    <cellStyle name="Normal 4 2 4 2 3 6" xfId="2518" xr:uid="{00000000-0005-0000-0000-000067130000}"/>
    <cellStyle name="Normal 4 2 4 2 3 6 2" xfId="6801" xr:uid="{00000000-0005-0000-0000-000068130000}"/>
    <cellStyle name="Normal 4 2 4 2 3 6 2 2" xfId="15251" xr:uid="{BBD23746-BE5D-4D40-A042-6CA90CBB9FCC}"/>
    <cellStyle name="Normal 4 2 4 2 3 6 3" xfId="11033" xr:uid="{F5426D2D-9CB4-420C-A134-3B6DC9FB020E}"/>
    <cellStyle name="Normal 4 2 4 2 3 7" xfId="4736" xr:uid="{00000000-0005-0000-0000-000069130000}"/>
    <cellStyle name="Normal 4 2 4 2 3 7 2" xfId="13186" xr:uid="{6A799C9A-A183-4558-9310-35F0F5A307A1}"/>
    <cellStyle name="Normal 4 2 4 2 3 8" xfId="8968" xr:uid="{6F2C75F7-12EB-4C0E-B547-1A821F654D9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75CB71BD-D165-4930-970B-7DB7DB6C0BEF}"/>
    <cellStyle name="Normal 4 2 4 2 4 2 3" xfId="11523" xr:uid="{81851008-DAE2-490A-8940-9C727A0F83B7}"/>
    <cellStyle name="Normal 4 2 4 2 4 3" xfId="5146" xr:uid="{00000000-0005-0000-0000-00006D130000}"/>
    <cellStyle name="Normal 4 2 4 2 4 3 2" xfId="13596" xr:uid="{75EB2EF0-F955-479E-81CB-CD085BF20BE5}"/>
    <cellStyle name="Normal 4 2 4 2 4 4" xfId="9378" xr:uid="{037062AC-A506-4E07-942D-00168EC9078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DE675C9C-0C02-4E23-A373-BD9FE9E0C74A}"/>
    <cellStyle name="Normal 4 2 4 2 5 2 3" xfId="11936" xr:uid="{68C41087-D564-4D26-BFCB-B070FEE493DF}"/>
    <cellStyle name="Normal 4 2 4 2 5 3" xfId="5559" xr:uid="{00000000-0005-0000-0000-000071130000}"/>
    <cellStyle name="Normal 4 2 4 2 5 3 2" xfId="14009" xr:uid="{E4987562-C11C-43E0-A51F-BFFA915A1019}"/>
    <cellStyle name="Normal 4 2 4 2 5 4" xfId="9791" xr:uid="{ED5B16DE-38D5-45CE-A6D0-63DC85BA2F3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91FBCEEE-A811-4E05-9964-5B802B518C0B}"/>
    <cellStyle name="Normal 4 2 4 2 6 2 3" xfId="12349" xr:uid="{DA0DCC10-8246-43C2-BB50-64E0EE8D17D1}"/>
    <cellStyle name="Normal 4 2 4 2 6 3" xfId="5972" xr:uid="{00000000-0005-0000-0000-000075130000}"/>
    <cellStyle name="Normal 4 2 4 2 6 3 2" xfId="14422" xr:uid="{F4D25AAA-5D60-4B72-AA29-8AEC273AA039}"/>
    <cellStyle name="Normal 4 2 4 2 6 4" xfId="10204" xr:uid="{B1D63A37-75C9-4373-80F2-4C3C6F10C74D}"/>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85ABE96C-0F95-4988-9434-A5D25C4E5914}"/>
    <cellStyle name="Normal 4 2 4 2 7 2 3" xfId="12762" xr:uid="{BBC57E27-D7E6-44D4-B115-8133A0E96042}"/>
    <cellStyle name="Normal 4 2 4 2 7 3" xfId="6385" xr:uid="{00000000-0005-0000-0000-000079130000}"/>
    <cellStyle name="Normal 4 2 4 2 7 3 2" xfId="14835" xr:uid="{FC2A6373-ABED-4DBD-AA1B-1D5CA3E68A97}"/>
    <cellStyle name="Normal 4 2 4 2 7 4" xfId="10617" xr:uid="{0F58570E-9E81-4EB4-BED5-63C13FDA036B}"/>
    <cellStyle name="Normal 4 2 4 2 8" xfId="2515" xr:uid="{00000000-0005-0000-0000-00007A130000}"/>
    <cellStyle name="Normal 4 2 4 2 8 2" xfId="6798" xr:uid="{00000000-0005-0000-0000-00007B130000}"/>
    <cellStyle name="Normal 4 2 4 2 8 2 2" xfId="15248" xr:uid="{5B362EAE-5FCA-4360-99E8-AD34EA4BC642}"/>
    <cellStyle name="Normal 4 2 4 2 8 3" xfId="11030" xr:uid="{D5AD515D-83FF-4A5F-9432-851C562B5402}"/>
    <cellStyle name="Normal 4 2 4 2 9" xfId="4733" xr:uid="{00000000-0005-0000-0000-00007C130000}"/>
    <cellStyle name="Normal 4 2 4 2 9 2" xfId="13183" xr:uid="{901A3D77-2951-4B9D-9635-66E43C315F4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24C6B481-0E6F-4395-96B4-56F441CDF7DD}"/>
    <cellStyle name="Normal 4 2 4 3 2 2 2 3" xfId="11528" xr:uid="{697218CC-5354-4C7C-931D-2B78BF7D38EC}"/>
    <cellStyle name="Normal 4 2 4 3 2 2 3" xfId="5151" xr:uid="{00000000-0005-0000-0000-000082130000}"/>
    <cellStyle name="Normal 4 2 4 3 2 2 3 2" xfId="13601" xr:uid="{F3141BF9-ECA8-43D7-B968-BF314F56D0CE}"/>
    <cellStyle name="Normal 4 2 4 3 2 2 4" xfId="9383" xr:uid="{C7A7256A-393F-479A-B71A-42F17F0485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7711F6EE-381B-4739-AD06-D00417A2F9C6}"/>
    <cellStyle name="Normal 4 2 4 3 2 3 2 3" xfId="11941" xr:uid="{70C2B267-13EE-49AE-A581-1AF7E474C155}"/>
    <cellStyle name="Normal 4 2 4 3 2 3 3" xfId="5564" xr:uid="{00000000-0005-0000-0000-000086130000}"/>
    <cellStyle name="Normal 4 2 4 3 2 3 3 2" xfId="14014" xr:uid="{04548946-8837-4B96-B0AA-E8EB80B28044}"/>
    <cellStyle name="Normal 4 2 4 3 2 3 4" xfId="9796" xr:uid="{8823F94D-FF73-483E-96BD-C8D7BC48E54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E093D1CD-5565-45FD-A23D-68B974BAFFC0}"/>
    <cellStyle name="Normal 4 2 4 3 2 4 2 3" xfId="12354" xr:uid="{678DBBFE-A57E-4F1B-897B-B52FF7D1B286}"/>
    <cellStyle name="Normal 4 2 4 3 2 4 3" xfId="5977" xr:uid="{00000000-0005-0000-0000-00008A130000}"/>
    <cellStyle name="Normal 4 2 4 3 2 4 3 2" xfId="14427" xr:uid="{DD2533FC-FEEB-4F8D-99C1-E7296C43CCB1}"/>
    <cellStyle name="Normal 4 2 4 3 2 4 4" xfId="10209" xr:uid="{2DF5A137-8D0C-4873-9390-AF5F47717D4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6C607BDF-F5C5-4630-A616-CBE4BDC67DE6}"/>
    <cellStyle name="Normal 4 2 4 3 2 5 2 3" xfId="12767" xr:uid="{B0BDEE61-4496-432F-A6A5-BD7F164CB829}"/>
    <cellStyle name="Normal 4 2 4 3 2 5 3" xfId="6390" xr:uid="{00000000-0005-0000-0000-00008E130000}"/>
    <cellStyle name="Normal 4 2 4 3 2 5 3 2" xfId="14840" xr:uid="{43F17F68-FA07-49D2-8440-34BBB18CC750}"/>
    <cellStyle name="Normal 4 2 4 3 2 5 4" xfId="10622" xr:uid="{A6820F94-01C2-4B8E-8182-A81F254FC169}"/>
    <cellStyle name="Normal 4 2 4 3 2 6" xfId="2520" xr:uid="{00000000-0005-0000-0000-00008F130000}"/>
    <cellStyle name="Normal 4 2 4 3 2 6 2" xfId="6803" xr:uid="{00000000-0005-0000-0000-000090130000}"/>
    <cellStyle name="Normal 4 2 4 3 2 6 2 2" xfId="15253" xr:uid="{072A62F7-7F74-4F14-A2A9-1E4DB03C07A2}"/>
    <cellStyle name="Normal 4 2 4 3 2 6 3" xfId="11035" xr:uid="{5853E896-58A0-4FAE-87C0-21E2B5BD9599}"/>
    <cellStyle name="Normal 4 2 4 3 2 7" xfId="4738" xr:uid="{00000000-0005-0000-0000-000091130000}"/>
    <cellStyle name="Normal 4 2 4 3 2 7 2" xfId="13188" xr:uid="{6B997C07-DD11-408C-8567-BFA9A817093C}"/>
    <cellStyle name="Normal 4 2 4 3 2 8" xfId="8970" xr:uid="{590F5862-AD32-4ACE-9E02-8C43D71E7507}"/>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36A01585-E056-4201-9C72-CEB2148333FF}"/>
    <cellStyle name="Normal 4 2 4 3 3 2 3" xfId="11527" xr:uid="{1307BE1E-B374-4317-AB7A-9CDC1ED2072F}"/>
    <cellStyle name="Normal 4 2 4 3 3 3" xfId="5150" xr:uid="{00000000-0005-0000-0000-000095130000}"/>
    <cellStyle name="Normal 4 2 4 3 3 3 2" xfId="13600" xr:uid="{2F5BA1D0-AD20-40A0-A15B-84A0CBEBE4EE}"/>
    <cellStyle name="Normal 4 2 4 3 3 4" xfId="9382" xr:uid="{10CB55FA-6799-4200-AE67-17662440B39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30606DDB-A4D4-4492-A23F-B91D42855482}"/>
    <cellStyle name="Normal 4 2 4 3 4 2 3" xfId="11940" xr:uid="{05F7689F-E9F5-4540-A58D-0B5B770B47C9}"/>
    <cellStyle name="Normal 4 2 4 3 4 3" xfId="5563" xr:uid="{00000000-0005-0000-0000-000099130000}"/>
    <cellStyle name="Normal 4 2 4 3 4 3 2" xfId="14013" xr:uid="{E9160385-6379-4415-8152-F86FA97AC376}"/>
    <cellStyle name="Normal 4 2 4 3 4 4" xfId="9795" xr:uid="{96611BD9-8995-4C58-BDA6-22FE15252822}"/>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28406277-8AD6-4C55-8151-12E1F54C27FE}"/>
    <cellStyle name="Normal 4 2 4 3 5 2 3" xfId="12353" xr:uid="{ADF3A6B3-4928-490E-919A-417326F81F89}"/>
    <cellStyle name="Normal 4 2 4 3 5 3" xfId="5976" xr:uid="{00000000-0005-0000-0000-00009D130000}"/>
    <cellStyle name="Normal 4 2 4 3 5 3 2" xfId="14426" xr:uid="{9933F0E2-38CB-44F2-96BF-1AB03B507C32}"/>
    <cellStyle name="Normal 4 2 4 3 5 4" xfId="10208" xr:uid="{2C675F39-C65A-4FD3-B770-D77ADE965F2E}"/>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D7273A4C-6B60-4A6A-B4CF-5D7150CFFB23}"/>
    <cellStyle name="Normal 4 2 4 3 6 2 3" xfId="12766" xr:uid="{6A441616-4011-41FC-801D-D849711717C7}"/>
    <cellStyle name="Normal 4 2 4 3 6 3" xfId="6389" xr:uid="{00000000-0005-0000-0000-0000A1130000}"/>
    <cellStyle name="Normal 4 2 4 3 6 3 2" xfId="14839" xr:uid="{ACAE332F-324B-4543-A86E-3871F604B636}"/>
    <cellStyle name="Normal 4 2 4 3 6 4" xfId="10621" xr:uid="{A773478A-0D5E-48CB-84A6-4A05735102D1}"/>
    <cellStyle name="Normal 4 2 4 3 7" xfId="2519" xr:uid="{00000000-0005-0000-0000-0000A2130000}"/>
    <cellStyle name="Normal 4 2 4 3 7 2" xfId="6802" xr:uid="{00000000-0005-0000-0000-0000A3130000}"/>
    <cellStyle name="Normal 4 2 4 3 7 2 2" xfId="15252" xr:uid="{0DF62281-50C7-4CA2-9D21-AC77C584925B}"/>
    <cellStyle name="Normal 4 2 4 3 7 3" xfId="11034" xr:uid="{C312683B-8771-4707-91FA-55D17EBCE15C}"/>
    <cellStyle name="Normal 4 2 4 3 8" xfId="4737" xr:uid="{00000000-0005-0000-0000-0000A4130000}"/>
    <cellStyle name="Normal 4 2 4 3 8 2" xfId="13187" xr:uid="{E98B26A1-CA02-4799-BFD1-C29754B8FCC2}"/>
    <cellStyle name="Normal 4 2 4 3 9" xfId="8969" xr:uid="{AFF034C6-C407-47D2-B60A-A952A625E74A}"/>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00171F4C-03D5-49FE-9FF3-0FA419A205AB}"/>
    <cellStyle name="Normal 4 2 4 4 2 2 3" xfId="11529" xr:uid="{1876B017-2A7F-4409-8549-3835E0E2E61F}"/>
    <cellStyle name="Normal 4 2 4 4 2 3" xfId="5152" xr:uid="{00000000-0005-0000-0000-0000A9130000}"/>
    <cellStyle name="Normal 4 2 4 4 2 3 2" xfId="13602" xr:uid="{2436B749-D974-4AB4-BDCF-7482CCBD0C1A}"/>
    <cellStyle name="Normal 4 2 4 4 2 4" xfId="9384" xr:uid="{C47322B5-FF11-4237-82D6-3FD65B1266F5}"/>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CFC55B64-4556-430E-95F5-8061E171E39D}"/>
    <cellStyle name="Normal 4 2 4 4 3 2 3" xfId="11942" xr:uid="{D6A61BAE-65BF-4064-AEB0-BFA0951D1E54}"/>
    <cellStyle name="Normal 4 2 4 4 3 3" xfId="5565" xr:uid="{00000000-0005-0000-0000-0000AD130000}"/>
    <cellStyle name="Normal 4 2 4 4 3 3 2" xfId="14015" xr:uid="{9F6F0D57-702E-4A8F-926D-A62B5C45EE9B}"/>
    <cellStyle name="Normal 4 2 4 4 3 4" xfId="9797" xr:uid="{ED138596-5C0B-4794-B562-5062E1246DF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E4539585-AF68-4341-B781-34DDE7319A64}"/>
    <cellStyle name="Normal 4 2 4 4 4 2 3" xfId="12355" xr:uid="{CABC6694-30D6-48D6-A36B-03833B7FD3BD}"/>
    <cellStyle name="Normal 4 2 4 4 4 3" xfId="5978" xr:uid="{00000000-0005-0000-0000-0000B1130000}"/>
    <cellStyle name="Normal 4 2 4 4 4 3 2" xfId="14428" xr:uid="{C4B60BDA-EE5B-4A1F-9B0B-95475BE6719B}"/>
    <cellStyle name="Normal 4 2 4 4 4 4" xfId="10210" xr:uid="{3BFD8392-8428-4EA6-AB35-37375561826B}"/>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34D7EA49-B525-491A-9D25-00C4F6B350F1}"/>
    <cellStyle name="Normal 4 2 4 4 5 2 3" xfId="12768" xr:uid="{977F65E1-5EE9-4193-AAA8-EDEC7BD1715E}"/>
    <cellStyle name="Normal 4 2 4 4 5 3" xfId="6391" xr:uid="{00000000-0005-0000-0000-0000B5130000}"/>
    <cellStyle name="Normal 4 2 4 4 5 3 2" xfId="14841" xr:uid="{6FBE93DF-7639-4474-99E4-3D793941C0DE}"/>
    <cellStyle name="Normal 4 2 4 4 5 4" xfId="10623" xr:uid="{E25A2647-6EB7-48DE-90F8-E264422BBEB9}"/>
    <cellStyle name="Normal 4 2 4 4 6" xfId="2521" xr:uid="{00000000-0005-0000-0000-0000B6130000}"/>
    <cellStyle name="Normal 4 2 4 4 6 2" xfId="6804" xr:uid="{00000000-0005-0000-0000-0000B7130000}"/>
    <cellStyle name="Normal 4 2 4 4 6 2 2" xfId="15254" xr:uid="{8CEFCA26-DDF4-4162-8292-9DC93ABB11BE}"/>
    <cellStyle name="Normal 4 2 4 4 6 3" xfId="11036" xr:uid="{8B32FCF8-6F28-4BC2-842F-9633C2DB0001}"/>
    <cellStyle name="Normal 4 2 4 4 7" xfId="4739" xr:uid="{00000000-0005-0000-0000-0000B8130000}"/>
    <cellStyle name="Normal 4 2 4 4 7 2" xfId="13189" xr:uid="{6C33DE27-439E-44B2-9CFF-FB2AF6F2DB54}"/>
    <cellStyle name="Normal 4 2 4 4 8" xfId="8971" xr:uid="{865CA441-DA63-4121-BC64-D529BE72670F}"/>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6D50546E-C89B-45D7-A36D-E0A540846F50}"/>
    <cellStyle name="Normal 4 2 4 5 2 3" xfId="11522" xr:uid="{BF36882C-6E0F-412B-A6DD-A9E8F650F210}"/>
    <cellStyle name="Normal 4 2 4 5 3" xfId="5145" xr:uid="{00000000-0005-0000-0000-0000BC130000}"/>
    <cellStyle name="Normal 4 2 4 5 3 2" xfId="13595" xr:uid="{EBF031B1-5511-4BDB-B5D0-402B2E5BE63B}"/>
    <cellStyle name="Normal 4 2 4 5 4" xfId="9377" xr:uid="{866DD333-1D5A-4DDB-944D-C3DFEC48F8A2}"/>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A26B414A-67AF-4C0C-A46C-DACC289D5CE4}"/>
    <cellStyle name="Normal 4 2 4 6 2 3" xfId="11935" xr:uid="{DADC1171-0BF7-4546-991B-D1D11B1F945B}"/>
    <cellStyle name="Normal 4 2 4 6 3" xfId="5558" xr:uid="{00000000-0005-0000-0000-0000C0130000}"/>
    <cellStyle name="Normal 4 2 4 6 3 2" xfId="14008" xr:uid="{58DA9819-7028-45BF-9D6C-F3CEB64FB5B3}"/>
    <cellStyle name="Normal 4 2 4 6 4" xfId="9790" xr:uid="{71D1FDF9-3D4A-44F6-BB97-30D03E78BF4A}"/>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4416AB64-7EF2-4097-9ECA-27B76F30F229}"/>
    <cellStyle name="Normal 4 2 4 7 2 3" xfId="12348" xr:uid="{AE72D8EA-E684-41CD-B541-8A5065E6D6D8}"/>
    <cellStyle name="Normal 4 2 4 7 3" xfId="5971" xr:uid="{00000000-0005-0000-0000-0000C4130000}"/>
    <cellStyle name="Normal 4 2 4 7 3 2" xfId="14421" xr:uid="{E1BDEA25-FCC1-4CD3-8B03-D9D3E1C3EE81}"/>
    <cellStyle name="Normal 4 2 4 7 4" xfId="10203" xr:uid="{F0F7C98E-5670-4817-A01F-AF2D37C2E478}"/>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F548736F-75D8-4371-BFCA-4E38A6A31274}"/>
    <cellStyle name="Normal 4 2 4 8 2 3" xfId="12761" xr:uid="{3FA91D99-DEF4-4F2E-8296-763D05AC1727}"/>
    <cellStyle name="Normal 4 2 4 8 3" xfId="6384" xr:uid="{00000000-0005-0000-0000-0000C8130000}"/>
    <cellStyle name="Normal 4 2 4 8 3 2" xfId="14834" xr:uid="{D84A7787-9958-48CD-9522-80314F87B296}"/>
    <cellStyle name="Normal 4 2 4 8 4" xfId="10616" xr:uid="{DCC348A7-960A-405E-A526-5F28BEF35331}"/>
    <cellStyle name="Normal 4 2 4 9" xfId="2514" xr:uid="{00000000-0005-0000-0000-0000C9130000}"/>
    <cellStyle name="Normal 4 2 4 9 2" xfId="6797" xr:uid="{00000000-0005-0000-0000-0000CA130000}"/>
    <cellStyle name="Normal 4 2 4 9 2 2" xfId="15247" xr:uid="{E143A0A9-7BE3-47ED-BA56-D89F5104B172}"/>
    <cellStyle name="Normal 4 2 4 9 3" xfId="11029" xr:uid="{BD25179E-4F37-460A-B5B7-2D25590966A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1BD2874B-D4AD-4BBA-82F0-AA82EBDE8FFC}"/>
    <cellStyle name="Normal 4 2 5 2 2 2 3" xfId="11531" xr:uid="{7B57A91E-D049-4F23-9883-0CD0E9953846}"/>
    <cellStyle name="Normal 4 2 5 2 2 3" xfId="5154" xr:uid="{00000000-0005-0000-0000-0000D0130000}"/>
    <cellStyle name="Normal 4 2 5 2 2 3 2" xfId="13604" xr:uid="{CF4CC68C-585F-43E0-96E3-CC69AA9ADE9F}"/>
    <cellStyle name="Normal 4 2 5 2 2 4" xfId="9386" xr:uid="{AEABF140-0C99-4372-B06A-A346D648806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BB377E5D-CF5A-4BFC-A7C4-FA81F50E51D1}"/>
    <cellStyle name="Normal 4 2 5 2 3 2 3" xfId="11944" xr:uid="{C71F47C3-A41C-4018-8D3A-037F9DA2F211}"/>
    <cellStyle name="Normal 4 2 5 2 3 3" xfId="5567" xr:uid="{00000000-0005-0000-0000-0000D4130000}"/>
    <cellStyle name="Normal 4 2 5 2 3 3 2" xfId="14017" xr:uid="{0F12CFD3-5050-4789-BA2A-E06D2B5FD8E0}"/>
    <cellStyle name="Normal 4 2 5 2 3 4" xfId="9799" xr:uid="{BB48A127-7151-47E2-8081-FAE66D227EC0}"/>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39E2F52B-1E93-4A34-BD7F-37D9C1C35937}"/>
    <cellStyle name="Normal 4 2 5 2 4 2 3" xfId="12357" xr:uid="{25DC039D-FFB1-426B-A605-C4BDCC33358E}"/>
    <cellStyle name="Normal 4 2 5 2 4 3" xfId="5980" xr:uid="{00000000-0005-0000-0000-0000D8130000}"/>
    <cellStyle name="Normal 4 2 5 2 4 3 2" xfId="14430" xr:uid="{6DEB0282-3C40-402C-A28A-382F148D5AF0}"/>
    <cellStyle name="Normal 4 2 5 2 4 4" xfId="10212" xr:uid="{B1423C77-2339-4EBD-ABD3-E545697B6F09}"/>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53A6EA89-13A5-476B-92FA-BB31D1DCD683}"/>
    <cellStyle name="Normal 4 2 5 2 5 2 3" xfId="12770" xr:uid="{7F00A811-6F45-4886-A8A3-15FF958F4B35}"/>
    <cellStyle name="Normal 4 2 5 2 5 3" xfId="6393" xr:uid="{00000000-0005-0000-0000-0000DC130000}"/>
    <cellStyle name="Normal 4 2 5 2 5 3 2" xfId="14843" xr:uid="{05A46691-DB72-40B8-8667-041621B0F7BA}"/>
    <cellStyle name="Normal 4 2 5 2 5 4" xfId="10625" xr:uid="{D4B4B20F-1294-4BBD-BAF5-0BC46014D015}"/>
    <cellStyle name="Normal 4 2 5 2 6" xfId="2523" xr:uid="{00000000-0005-0000-0000-0000DD130000}"/>
    <cellStyle name="Normal 4 2 5 2 6 2" xfId="6806" xr:uid="{00000000-0005-0000-0000-0000DE130000}"/>
    <cellStyle name="Normal 4 2 5 2 6 2 2" xfId="15256" xr:uid="{14608B2A-57C7-445B-98AD-2E71844CFBE5}"/>
    <cellStyle name="Normal 4 2 5 2 6 3" xfId="11038" xr:uid="{17BB2526-20D2-44CA-9514-5BD74D634CAC}"/>
    <cellStyle name="Normal 4 2 5 2 7" xfId="4741" xr:uid="{00000000-0005-0000-0000-0000DF130000}"/>
    <cellStyle name="Normal 4 2 5 2 7 2" xfId="13191" xr:uid="{005FAC58-984B-458C-B9CE-DBADF4817A6C}"/>
    <cellStyle name="Normal 4 2 5 2 8" xfId="8973" xr:uid="{BE8EC4CC-9E5A-43BC-A030-E65488940BDD}"/>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64508ABD-1EF0-45B7-82B0-29BDD99893A4}"/>
    <cellStyle name="Normal 4 2 5 3 2 3" xfId="11530" xr:uid="{7B42CD4D-A508-4797-A46B-41EA5BD97DF5}"/>
    <cellStyle name="Normal 4 2 5 3 3" xfId="5153" xr:uid="{00000000-0005-0000-0000-0000E3130000}"/>
    <cellStyle name="Normal 4 2 5 3 3 2" xfId="13603" xr:uid="{425EEB29-6CEE-464B-997C-4B5FDA6AA7B4}"/>
    <cellStyle name="Normal 4 2 5 3 4" xfId="9385" xr:uid="{737BD87D-1947-416F-9334-B18A2D08548C}"/>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9114B1A-8440-45C4-92DC-CC9F8F00FB9D}"/>
    <cellStyle name="Normal 4 2 5 4 2 3" xfId="11943" xr:uid="{53E6909F-BEB8-4A43-9DB7-9A50A43345EC}"/>
    <cellStyle name="Normal 4 2 5 4 3" xfId="5566" xr:uid="{00000000-0005-0000-0000-0000E7130000}"/>
    <cellStyle name="Normal 4 2 5 4 3 2" xfId="14016" xr:uid="{402FA07E-EE83-4E86-B19F-16EB9E80604C}"/>
    <cellStyle name="Normal 4 2 5 4 4" xfId="9798" xr:uid="{06D1FDE2-889B-45CC-B807-F209D07C30A0}"/>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FC08FE88-F3A1-4B5F-BC36-BD86B947216F}"/>
    <cellStyle name="Normal 4 2 5 5 2 3" xfId="12356" xr:uid="{8B7FAF08-ED52-42E1-BDAD-A230E48A31CD}"/>
    <cellStyle name="Normal 4 2 5 5 3" xfId="5979" xr:uid="{00000000-0005-0000-0000-0000EB130000}"/>
    <cellStyle name="Normal 4 2 5 5 3 2" xfId="14429" xr:uid="{E89446D8-F6C6-4285-B585-0EFFF85636D4}"/>
    <cellStyle name="Normal 4 2 5 5 4" xfId="10211" xr:uid="{2DDAD8ED-F682-4BCB-9A10-79A2ADC3E164}"/>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BEB8330E-8117-4C99-8701-64B888AEE59A}"/>
    <cellStyle name="Normal 4 2 5 6 2 3" xfId="12769" xr:uid="{B84B9026-63C9-4CF1-8140-A5BB3CAED465}"/>
    <cellStyle name="Normal 4 2 5 6 3" xfId="6392" xr:uid="{00000000-0005-0000-0000-0000EF130000}"/>
    <cellStyle name="Normal 4 2 5 6 3 2" xfId="14842" xr:uid="{05653094-8E86-41BA-BEBC-A88F2A703D57}"/>
    <cellStyle name="Normal 4 2 5 6 4" xfId="10624" xr:uid="{9B2B0E1F-572B-4758-AC45-910E600BCBDE}"/>
    <cellStyle name="Normal 4 2 5 7" xfId="2522" xr:uid="{00000000-0005-0000-0000-0000F0130000}"/>
    <cellStyle name="Normal 4 2 5 7 2" xfId="6805" xr:uid="{00000000-0005-0000-0000-0000F1130000}"/>
    <cellStyle name="Normal 4 2 5 7 2 2" xfId="15255" xr:uid="{AC9541C7-D288-4CEC-8BD9-F83100486EAA}"/>
    <cellStyle name="Normal 4 2 5 7 3" xfId="11037" xr:uid="{A3F60822-FF96-4263-931D-379FEFB9E3B8}"/>
    <cellStyle name="Normal 4 2 5 8" xfId="4740" xr:uid="{00000000-0005-0000-0000-0000F2130000}"/>
    <cellStyle name="Normal 4 2 5 8 2" xfId="13190" xr:uid="{88B81418-6CD4-452A-A7FC-42BA7C803753}"/>
    <cellStyle name="Normal 4 2 5 9" xfId="8972" xr:uid="{CB4C5826-5640-429F-A5C7-4B6F13672DA4}"/>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821120E9-8363-41B8-926F-C70B82432772}"/>
    <cellStyle name="Normal 4 2 6 2 2 3" xfId="11532" xr:uid="{816AABC3-D7C6-4E4D-A312-E0604F9DE9DC}"/>
    <cellStyle name="Normal 4 2 6 2 3" xfId="5155" xr:uid="{00000000-0005-0000-0000-0000F7130000}"/>
    <cellStyle name="Normal 4 2 6 2 3 2" xfId="13605" xr:uid="{9EBED205-C15C-4325-8E8C-6ABF9343AD75}"/>
    <cellStyle name="Normal 4 2 6 2 4" xfId="9387" xr:uid="{2551BC50-3E53-4B8E-B0DD-577FA02A75EA}"/>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4035777F-59D2-47F6-8D56-91DCF94D8FA7}"/>
    <cellStyle name="Normal 4 2 6 3 2 3" xfId="11945" xr:uid="{D6728DAC-F904-4583-AF2D-15756D54E6E5}"/>
    <cellStyle name="Normal 4 2 6 3 3" xfId="5568" xr:uid="{00000000-0005-0000-0000-0000FB130000}"/>
    <cellStyle name="Normal 4 2 6 3 3 2" xfId="14018" xr:uid="{1943173A-2AE8-47B6-9A70-AD8973E9D020}"/>
    <cellStyle name="Normal 4 2 6 3 4" xfId="9800" xr:uid="{02B770A6-252B-4365-8523-919522B013AD}"/>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DC63E77E-D021-4557-8D19-DD4EBF9C1E48}"/>
    <cellStyle name="Normal 4 2 6 4 2 3" xfId="12358" xr:uid="{35A0F0AB-E48B-4B13-9027-F2C70D2F3ABB}"/>
    <cellStyle name="Normal 4 2 6 4 3" xfId="5981" xr:uid="{00000000-0005-0000-0000-0000FF130000}"/>
    <cellStyle name="Normal 4 2 6 4 3 2" xfId="14431" xr:uid="{99984BDE-ABE9-42C8-A47A-462E46C07763}"/>
    <cellStyle name="Normal 4 2 6 4 4" xfId="10213" xr:uid="{F5A083DB-8226-4DCE-ACB2-D55ABCFE73C1}"/>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B0201CBC-1B58-4D1B-9B03-F3582A2B6DB0}"/>
    <cellStyle name="Normal 4 2 6 5 2 3" xfId="12771" xr:uid="{9AFFA4CD-28D0-4FF2-9C11-B6530E021E44}"/>
    <cellStyle name="Normal 4 2 6 5 3" xfId="6394" xr:uid="{00000000-0005-0000-0000-000003140000}"/>
    <cellStyle name="Normal 4 2 6 5 3 2" xfId="14844" xr:uid="{DD422AD0-3DE1-4BD6-AC82-61F70FB7703A}"/>
    <cellStyle name="Normal 4 2 6 5 4" xfId="10626" xr:uid="{0A74B55D-2D6A-4FC0-ADB6-6F60224D9D93}"/>
    <cellStyle name="Normal 4 2 6 6" xfId="2524" xr:uid="{00000000-0005-0000-0000-000004140000}"/>
    <cellStyle name="Normal 4 2 6 6 2" xfId="6807" xr:uid="{00000000-0005-0000-0000-000005140000}"/>
    <cellStyle name="Normal 4 2 6 6 2 2" xfId="15257" xr:uid="{A58CD198-BB5E-4627-9E16-BD5FC80316E1}"/>
    <cellStyle name="Normal 4 2 6 6 3" xfId="11039" xr:uid="{C6CF6FA6-866E-4E0E-ABDB-1F19162FD4A3}"/>
    <cellStyle name="Normal 4 2 6 7" xfId="4742" xr:uid="{00000000-0005-0000-0000-000006140000}"/>
    <cellStyle name="Normal 4 2 6 7 2" xfId="13192" xr:uid="{C8401E79-DF0D-4AA6-85A6-B809180B6B5D}"/>
    <cellStyle name="Normal 4 2 6 8" xfId="8974" xr:uid="{03BABF46-B276-4306-80F3-303F10478707}"/>
    <cellStyle name="Normal 4 3" xfId="366" xr:uid="{00000000-0005-0000-0000-000007140000}"/>
    <cellStyle name="Normal 4 3 10" xfId="8975" xr:uid="{A1C0E634-F580-4287-A045-AE4A93FB0E47}"/>
    <cellStyle name="Normal 4 3 2" xfId="367" xr:uid="{00000000-0005-0000-0000-000008140000}"/>
    <cellStyle name="Normal 4 3 2 2" xfId="368" xr:uid="{00000000-0005-0000-0000-000009140000}"/>
    <cellStyle name="Normal 4 3 2 2 2" xfId="369" xr:uid="{00000000-0005-0000-0000-00000A140000}"/>
    <cellStyle name="Normal 4 3 2 2 2 10" xfId="8976" xr:uid="{A242795E-BA09-4D99-B737-30EBFFE973F4}"/>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B2D600BD-2C14-40EC-A4B1-ED9633F56882}"/>
    <cellStyle name="Normal 4 3 2 2 2 2 2 2 2 3" xfId="11536" xr:uid="{024C40EC-7DD3-4B8A-944B-BE586D0898CC}"/>
    <cellStyle name="Normal 4 3 2 2 2 2 2 2 3" xfId="5159" xr:uid="{00000000-0005-0000-0000-000010140000}"/>
    <cellStyle name="Normal 4 3 2 2 2 2 2 2 3 2" xfId="13609" xr:uid="{288FDADD-6898-4038-9D3E-1705278930E1}"/>
    <cellStyle name="Normal 4 3 2 2 2 2 2 2 4" xfId="9391" xr:uid="{C3510E43-C733-4AF1-82DA-AFF3DC68956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DFFDC5DC-95B2-4583-B9AF-1D4C5C562375}"/>
    <cellStyle name="Normal 4 3 2 2 2 2 2 3 2 3" xfId="11949" xr:uid="{FC8C4956-5080-47E2-B824-284399EB46C8}"/>
    <cellStyle name="Normal 4 3 2 2 2 2 2 3 3" xfId="5572" xr:uid="{00000000-0005-0000-0000-000014140000}"/>
    <cellStyle name="Normal 4 3 2 2 2 2 2 3 3 2" xfId="14022" xr:uid="{8E33BDA8-CD4C-4052-B37D-3A847730B191}"/>
    <cellStyle name="Normal 4 3 2 2 2 2 2 3 4" xfId="9804" xr:uid="{71E11974-871F-4CC8-AC16-0D1273C64FF3}"/>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2BE4E4B0-A308-4FB4-849C-742F92837BAA}"/>
    <cellStyle name="Normal 4 3 2 2 2 2 2 4 2 3" xfId="12362" xr:uid="{2B657683-6BBF-45DD-AC81-B34C2104A958}"/>
    <cellStyle name="Normal 4 3 2 2 2 2 2 4 3" xfId="5985" xr:uid="{00000000-0005-0000-0000-000018140000}"/>
    <cellStyle name="Normal 4 3 2 2 2 2 2 4 3 2" xfId="14435" xr:uid="{C213671D-7BAA-452B-8333-3A9AED294B61}"/>
    <cellStyle name="Normal 4 3 2 2 2 2 2 4 4" xfId="10217" xr:uid="{528EA966-B136-47AD-ADB3-C63589C46BA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7A817218-F364-4DFC-B3D9-2479963AFBEF}"/>
    <cellStyle name="Normal 4 3 2 2 2 2 2 5 2 3" xfId="12775" xr:uid="{3C5349ED-0F65-452D-8B85-E83110528CCB}"/>
    <cellStyle name="Normal 4 3 2 2 2 2 2 5 3" xfId="6398" xr:uid="{00000000-0005-0000-0000-00001C140000}"/>
    <cellStyle name="Normal 4 3 2 2 2 2 2 5 3 2" xfId="14848" xr:uid="{FF8DFD29-2FA1-4EBF-9D4C-49E4033D07DB}"/>
    <cellStyle name="Normal 4 3 2 2 2 2 2 5 4" xfId="10630" xr:uid="{289DBEC8-B4FA-46D6-8EDE-F60C29A930AB}"/>
    <cellStyle name="Normal 4 3 2 2 2 2 2 6" xfId="2528" xr:uid="{00000000-0005-0000-0000-00001D140000}"/>
    <cellStyle name="Normal 4 3 2 2 2 2 2 6 2" xfId="6811" xr:uid="{00000000-0005-0000-0000-00001E140000}"/>
    <cellStyle name="Normal 4 3 2 2 2 2 2 6 2 2" xfId="15261" xr:uid="{8A486182-9061-4D37-A822-28216B5ED09C}"/>
    <cellStyle name="Normal 4 3 2 2 2 2 2 6 3" xfId="11043" xr:uid="{E2E74171-9699-4043-940E-698B03C3B673}"/>
    <cellStyle name="Normal 4 3 2 2 2 2 2 7" xfId="4746" xr:uid="{00000000-0005-0000-0000-00001F140000}"/>
    <cellStyle name="Normal 4 3 2 2 2 2 2 7 2" xfId="13196" xr:uid="{A3D4FA86-DACF-41E6-8067-615A7978AE2D}"/>
    <cellStyle name="Normal 4 3 2 2 2 2 2 8" xfId="8978" xr:uid="{152CF790-F81B-4FAD-B9DD-F265A7FD7E58}"/>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57FE4795-5D73-432B-AED6-6115B1F77A14}"/>
    <cellStyle name="Normal 4 3 2 2 2 2 3 2 3" xfId="11535" xr:uid="{42A031A5-D18F-4876-ACFA-5E83D0086C3A}"/>
    <cellStyle name="Normal 4 3 2 2 2 2 3 3" xfId="5158" xr:uid="{00000000-0005-0000-0000-000023140000}"/>
    <cellStyle name="Normal 4 3 2 2 2 2 3 3 2" xfId="13608" xr:uid="{3A31765C-79A4-4861-B686-003B0C90F61C}"/>
    <cellStyle name="Normal 4 3 2 2 2 2 3 4" xfId="9390" xr:uid="{DE35624D-2FFC-40B9-9FF4-27D1BF8BBE9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23BCDBE8-03BE-4CAD-8CC7-C2170F2A2F72}"/>
    <cellStyle name="Normal 4 3 2 2 2 2 4 2 3" xfId="11948" xr:uid="{7D9EF3EF-B974-4103-9E4D-7457874AB0EE}"/>
    <cellStyle name="Normal 4 3 2 2 2 2 4 3" xfId="5571" xr:uid="{00000000-0005-0000-0000-000027140000}"/>
    <cellStyle name="Normal 4 3 2 2 2 2 4 3 2" xfId="14021" xr:uid="{7E6584CD-B26E-4045-A260-8113DA909BF1}"/>
    <cellStyle name="Normal 4 3 2 2 2 2 4 4" xfId="9803" xr:uid="{C637AFEC-9737-4D71-A00E-01F4020DBFF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94A2D249-67F4-409D-AFCA-2B461E0F5F6F}"/>
    <cellStyle name="Normal 4 3 2 2 2 2 5 2 3" xfId="12361" xr:uid="{10C9E83A-C196-4BA6-AF80-C87743576C5F}"/>
    <cellStyle name="Normal 4 3 2 2 2 2 5 3" xfId="5984" xr:uid="{00000000-0005-0000-0000-00002B140000}"/>
    <cellStyle name="Normal 4 3 2 2 2 2 5 3 2" xfId="14434" xr:uid="{E2CE9DEA-C04B-4097-BD35-8E7813B51D67}"/>
    <cellStyle name="Normal 4 3 2 2 2 2 5 4" xfId="10216" xr:uid="{6A2FF17F-C5B8-4C77-A1DC-831F8C1CF7D4}"/>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0A6B1A47-5FE4-4867-A9A7-60CBC240929B}"/>
    <cellStyle name="Normal 4 3 2 2 2 2 6 2 3" xfId="12774" xr:uid="{AFAA9276-C4CF-401C-93E9-57D8BFC26C42}"/>
    <cellStyle name="Normal 4 3 2 2 2 2 6 3" xfId="6397" xr:uid="{00000000-0005-0000-0000-00002F140000}"/>
    <cellStyle name="Normal 4 3 2 2 2 2 6 3 2" xfId="14847" xr:uid="{4D674DEF-A3E8-48BF-86F9-2CCE94F12617}"/>
    <cellStyle name="Normal 4 3 2 2 2 2 6 4" xfId="10629" xr:uid="{E6AB6DB9-8844-440B-815F-D0E50099A25E}"/>
    <cellStyle name="Normal 4 3 2 2 2 2 7" xfId="2527" xr:uid="{00000000-0005-0000-0000-000030140000}"/>
    <cellStyle name="Normal 4 3 2 2 2 2 7 2" xfId="6810" xr:uid="{00000000-0005-0000-0000-000031140000}"/>
    <cellStyle name="Normal 4 3 2 2 2 2 7 2 2" xfId="15260" xr:uid="{1FB4FA63-67FF-490D-AF50-1A7D62A4B433}"/>
    <cellStyle name="Normal 4 3 2 2 2 2 7 3" xfId="11042" xr:uid="{AC54E1F5-D676-4DAD-A715-DF7C4D3DAA03}"/>
    <cellStyle name="Normal 4 3 2 2 2 2 8" xfId="4745" xr:uid="{00000000-0005-0000-0000-000032140000}"/>
    <cellStyle name="Normal 4 3 2 2 2 2 8 2" xfId="13195" xr:uid="{1E8ECDA3-F1E8-447E-8426-75BD1A39CD81}"/>
    <cellStyle name="Normal 4 3 2 2 2 2 9" xfId="8977" xr:uid="{B1DD6401-A765-4147-B124-E6A81F687CC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B688CB2B-BC1D-4449-944B-741B86D80F63}"/>
    <cellStyle name="Normal 4 3 2 2 2 3 2 2 3" xfId="11537" xr:uid="{DCA8EC9E-F9BD-4EE2-BE38-E46E690F90AC}"/>
    <cellStyle name="Normal 4 3 2 2 2 3 2 3" xfId="5160" xr:uid="{00000000-0005-0000-0000-000037140000}"/>
    <cellStyle name="Normal 4 3 2 2 2 3 2 3 2" xfId="13610" xr:uid="{194E6FD0-BAC9-46FC-A941-89417FA5F313}"/>
    <cellStyle name="Normal 4 3 2 2 2 3 2 4" xfId="9392" xr:uid="{045E1378-77F0-4A83-95CE-E1A5E42DC9E3}"/>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2800D2B4-34A1-43E8-A1C2-C705380D0533}"/>
    <cellStyle name="Normal 4 3 2 2 2 3 3 2 3" xfId="11950" xr:uid="{D1A6BDD1-B256-4822-9A5C-801FBD39FA51}"/>
    <cellStyle name="Normal 4 3 2 2 2 3 3 3" xfId="5573" xr:uid="{00000000-0005-0000-0000-00003B140000}"/>
    <cellStyle name="Normal 4 3 2 2 2 3 3 3 2" xfId="14023" xr:uid="{23B683B5-E821-44FD-8831-6951D742E663}"/>
    <cellStyle name="Normal 4 3 2 2 2 3 3 4" xfId="9805" xr:uid="{807115FA-BA53-409D-8D7D-166793192038}"/>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8656B215-FF9D-4D6F-848F-738B15733722}"/>
    <cellStyle name="Normal 4 3 2 2 2 3 4 2 3" xfId="12363" xr:uid="{36D98B21-82AB-42DF-9778-3211A0E14A91}"/>
    <cellStyle name="Normal 4 3 2 2 2 3 4 3" xfId="5986" xr:uid="{00000000-0005-0000-0000-00003F140000}"/>
    <cellStyle name="Normal 4 3 2 2 2 3 4 3 2" xfId="14436" xr:uid="{503CCE7C-6899-44A9-B60B-1C50A172433E}"/>
    <cellStyle name="Normal 4 3 2 2 2 3 4 4" xfId="10218" xr:uid="{8E20FE53-25A5-4847-97FE-313E96130F8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CB9D51DD-C4F1-46F5-A31D-265F3106058F}"/>
    <cellStyle name="Normal 4 3 2 2 2 3 5 2 3" xfId="12776" xr:uid="{FB39E067-22E2-408A-B654-66CC7C83177A}"/>
    <cellStyle name="Normal 4 3 2 2 2 3 5 3" xfId="6399" xr:uid="{00000000-0005-0000-0000-000043140000}"/>
    <cellStyle name="Normal 4 3 2 2 2 3 5 3 2" xfId="14849" xr:uid="{0C16F4A0-CB65-4CFB-947C-A41F7C60778B}"/>
    <cellStyle name="Normal 4 3 2 2 2 3 5 4" xfId="10631" xr:uid="{022DF8B0-AF2D-49CF-881E-164BD0B62B34}"/>
    <cellStyle name="Normal 4 3 2 2 2 3 6" xfId="2529" xr:uid="{00000000-0005-0000-0000-000044140000}"/>
    <cellStyle name="Normal 4 3 2 2 2 3 6 2" xfId="6812" xr:uid="{00000000-0005-0000-0000-000045140000}"/>
    <cellStyle name="Normal 4 3 2 2 2 3 6 2 2" xfId="15262" xr:uid="{49997E47-C623-4695-8796-ABBDF8751A08}"/>
    <cellStyle name="Normal 4 3 2 2 2 3 6 3" xfId="11044" xr:uid="{987DF9E6-FE0F-4589-B636-E7E35A846596}"/>
    <cellStyle name="Normal 4 3 2 2 2 3 7" xfId="4747" xr:uid="{00000000-0005-0000-0000-000046140000}"/>
    <cellStyle name="Normal 4 3 2 2 2 3 7 2" xfId="13197" xr:uid="{FFD02520-4CAC-4B79-BB47-A7F7106FF3C0}"/>
    <cellStyle name="Normal 4 3 2 2 2 3 8" xfId="8979" xr:uid="{B35F66FF-D6FB-49FF-A282-43DEE8A0D6B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496688DE-C809-4E13-B902-4983303334E2}"/>
    <cellStyle name="Normal 4 3 2 2 2 4 2 3" xfId="11534" xr:uid="{1E9BCE3D-47FA-462B-AF62-A25EF05A5144}"/>
    <cellStyle name="Normal 4 3 2 2 2 4 3" xfId="5157" xr:uid="{00000000-0005-0000-0000-00004A140000}"/>
    <cellStyle name="Normal 4 3 2 2 2 4 3 2" xfId="13607" xr:uid="{94C2E79B-4C5D-497C-926F-E1AFACA4C8D6}"/>
    <cellStyle name="Normal 4 3 2 2 2 4 4" xfId="9389" xr:uid="{1F489309-CC55-41DC-A8E9-4AABC467BB4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5F41233E-7429-43DB-9552-D12A68D77411}"/>
    <cellStyle name="Normal 4 3 2 2 2 5 2 3" xfId="11947" xr:uid="{BDA2A327-65EA-4902-84E6-CCFF9B03CEB0}"/>
    <cellStyle name="Normal 4 3 2 2 2 5 3" xfId="5570" xr:uid="{00000000-0005-0000-0000-00004E140000}"/>
    <cellStyle name="Normal 4 3 2 2 2 5 3 2" xfId="14020" xr:uid="{ABF19E7F-855D-4AEB-B4B5-CB59BA35478E}"/>
    <cellStyle name="Normal 4 3 2 2 2 5 4" xfId="9802" xr:uid="{BF0A1C90-BFE0-407C-A376-6F177357E945}"/>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46F5FF41-E659-4740-8A06-C991FBBA1583}"/>
    <cellStyle name="Normal 4 3 2 2 2 6 2 3" xfId="12360" xr:uid="{0B74789D-741B-4D6E-8061-3A6CEDCA9C88}"/>
    <cellStyle name="Normal 4 3 2 2 2 6 3" xfId="5983" xr:uid="{00000000-0005-0000-0000-000052140000}"/>
    <cellStyle name="Normal 4 3 2 2 2 6 3 2" xfId="14433" xr:uid="{A0FDD27D-75EF-4021-AC99-63D1E80D55D9}"/>
    <cellStyle name="Normal 4 3 2 2 2 6 4" xfId="10215" xr:uid="{134EF23A-995C-4017-AFDC-D799B96BD50B}"/>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4159EE8C-54B5-4B97-BBD4-4ACA8A73041B}"/>
    <cellStyle name="Normal 4 3 2 2 2 7 2 3" xfId="12773" xr:uid="{91C06BBE-9ECB-49B0-8B8A-A661BCA7109A}"/>
    <cellStyle name="Normal 4 3 2 2 2 7 3" xfId="6396" xr:uid="{00000000-0005-0000-0000-000056140000}"/>
    <cellStyle name="Normal 4 3 2 2 2 7 3 2" xfId="14846" xr:uid="{8AA7B648-3A58-4108-B725-3CF39423DC18}"/>
    <cellStyle name="Normal 4 3 2 2 2 7 4" xfId="10628" xr:uid="{3D56CF27-AA5A-417C-B7C9-BE4F59F01029}"/>
    <cellStyle name="Normal 4 3 2 2 2 8" xfId="2526" xr:uid="{00000000-0005-0000-0000-000057140000}"/>
    <cellStyle name="Normal 4 3 2 2 2 8 2" xfId="6809" xr:uid="{00000000-0005-0000-0000-000058140000}"/>
    <cellStyle name="Normal 4 3 2 2 2 8 2 2" xfId="15259" xr:uid="{6185FA12-BC8B-470C-A188-57ED39DC753C}"/>
    <cellStyle name="Normal 4 3 2 2 2 8 3" xfId="11041" xr:uid="{E235A4A3-FF8D-4B58-9E9A-5D17873F1436}"/>
    <cellStyle name="Normal 4 3 2 2 2 9" xfId="4744" xr:uid="{00000000-0005-0000-0000-000059140000}"/>
    <cellStyle name="Normal 4 3 2 2 2 9 2" xfId="13194" xr:uid="{BC103FEF-3272-4541-963C-C1AC4AC54B3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C495EB93-F7D5-4A02-8923-706683F1FC3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44A80567-D794-4AE0-B567-786C4A74384D}"/>
    <cellStyle name="Normal 4 3 3 2 2 2 2 3" xfId="11540" xr:uid="{FF9E1B0C-C815-43FE-8A7F-6F50902D1BA6}"/>
    <cellStyle name="Normal 4 3 3 2 2 2 3" xfId="5163" xr:uid="{00000000-0005-0000-0000-000063140000}"/>
    <cellStyle name="Normal 4 3 3 2 2 2 3 2" xfId="13613" xr:uid="{802B3E94-5B5D-4838-B3C3-6F527C63BB0B}"/>
    <cellStyle name="Normal 4 3 3 2 2 2 4" xfId="9395" xr:uid="{5B26F387-447C-4E5C-BC42-26A5C6E58D1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0CEF6B7E-86AF-44D1-854C-96DE38E544A0}"/>
    <cellStyle name="Normal 4 3 3 2 2 3 2 3" xfId="11953" xr:uid="{F3A36DF6-6B39-42A5-B826-55978CD63348}"/>
    <cellStyle name="Normal 4 3 3 2 2 3 3" xfId="5576" xr:uid="{00000000-0005-0000-0000-000067140000}"/>
    <cellStyle name="Normal 4 3 3 2 2 3 3 2" xfId="14026" xr:uid="{5C71C762-69B2-4055-A117-F224B1E85B37}"/>
    <cellStyle name="Normal 4 3 3 2 2 3 4" xfId="9808" xr:uid="{A186536F-DFF3-4F5E-A81B-5FA4E0A29418}"/>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2B40891E-800C-446B-88B5-B68FAAFBCCC3}"/>
    <cellStyle name="Normal 4 3 3 2 2 4 2 3" xfId="12366" xr:uid="{AB594B67-2FF3-4AB7-8947-03BB9B3E3988}"/>
    <cellStyle name="Normal 4 3 3 2 2 4 3" xfId="5989" xr:uid="{00000000-0005-0000-0000-00006B140000}"/>
    <cellStyle name="Normal 4 3 3 2 2 4 3 2" xfId="14439" xr:uid="{8DA82A00-C8AB-455D-93D5-8C3D9B83D862}"/>
    <cellStyle name="Normal 4 3 3 2 2 4 4" xfId="10221" xr:uid="{DBEEE1F3-9F2B-46F4-A835-BE8FE604CA5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4204B05E-27EC-4DDD-B18C-E80B83472DF5}"/>
    <cellStyle name="Normal 4 3 3 2 2 5 2 3" xfId="12779" xr:uid="{A02A98AD-D733-4AEC-B808-EA7ECC24DC6B}"/>
    <cellStyle name="Normal 4 3 3 2 2 5 3" xfId="6402" xr:uid="{00000000-0005-0000-0000-00006F140000}"/>
    <cellStyle name="Normal 4 3 3 2 2 5 3 2" xfId="14852" xr:uid="{1A945904-AE01-4A8C-A774-8F093AA769E4}"/>
    <cellStyle name="Normal 4 3 3 2 2 5 4" xfId="10634" xr:uid="{BBCF731F-29B5-4897-9599-063B4BC953D2}"/>
    <cellStyle name="Normal 4 3 3 2 2 6" xfId="2532" xr:uid="{00000000-0005-0000-0000-000070140000}"/>
    <cellStyle name="Normal 4 3 3 2 2 6 2" xfId="6815" xr:uid="{00000000-0005-0000-0000-000071140000}"/>
    <cellStyle name="Normal 4 3 3 2 2 6 2 2" xfId="15265" xr:uid="{772F8658-7FAD-449B-A0C6-E72D2BE62A2A}"/>
    <cellStyle name="Normal 4 3 3 2 2 6 3" xfId="11047" xr:uid="{BE10675D-AA98-4EFB-A377-0D2963B8F833}"/>
    <cellStyle name="Normal 4 3 3 2 2 7" xfId="4750" xr:uid="{00000000-0005-0000-0000-000072140000}"/>
    <cellStyle name="Normal 4 3 3 2 2 7 2" xfId="13200" xr:uid="{DCE285AC-AC86-40BC-A4DD-CE383206DEF2}"/>
    <cellStyle name="Normal 4 3 3 2 2 8" xfId="8982" xr:uid="{DBF5AB04-AD71-42C5-8DA8-E1158332B36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FA7DD951-26A5-498A-A912-19B5E3B8C785}"/>
    <cellStyle name="Normal 4 3 3 2 3 2 3" xfId="11539" xr:uid="{5EC96110-173A-4940-B9CA-330C800D1474}"/>
    <cellStyle name="Normal 4 3 3 2 3 3" xfId="5162" xr:uid="{00000000-0005-0000-0000-000076140000}"/>
    <cellStyle name="Normal 4 3 3 2 3 3 2" xfId="13612" xr:uid="{7DAAC7BA-AA2C-4CD1-80F6-6B1F0C27171D}"/>
    <cellStyle name="Normal 4 3 3 2 3 4" xfId="9394" xr:uid="{AF015599-483D-4F05-907A-E7C1A06CED1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FC405DD3-9F78-4AE5-BCE1-B52D5CE8BEC0}"/>
    <cellStyle name="Normal 4 3 3 2 4 2 3" xfId="11952" xr:uid="{34E22FB4-138F-44FB-9D81-404FC116DC16}"/>
    <cellStyle name="Normal 4 3 3 2 4 3" xfId="5575" xr:uid="{00000000-0005-0000-0000-00007A140000}"/>
    <cellStyle name="Normal 4 3 3 2 4 3 2" xfId="14025" xr:uid="{DBC20D62-71CD-454C-A87A-DCC2B313B5F8}"/>
    <cellStyle name="Normal 4 3 3 2 4 4" xfId="9807" xr:uid="{94CEEFF0-C45E-4B89-A0B8-5CB139EB8304}"/>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48278F9C-F398-4206-93A1-9C6F79D160F4}"/>
    <cellStyle name="Normal 4 3 3 2 5 2 3" xfId="12365" xr:uid="{2FE68CDC-DD5D-4EDE-A8BD-C5FE5CC95495}"/>
    <cellStyle name="Normal 4 3 3 2 5 3" xfId="5988" xr:uid="{00000000-0005-0000-0000-00007E140000}"/>
    <cellStyle name="Normal 4 3 3 2 5 3 2" xfId="14438" xr:uid="{14564A98-0145-41B0-8B48-A8D6AF6AB18F}"/>
    <cellStyle name="Normal 4 3 3 2 5 4" xfId="10220" xr:uid="{B950F038-1C36-4202-90BE-DDFACB189AEE}"/>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D1BD73E8-0D79-4E3B-915D-9CAFDE02FF1A}"/>
    <cellStyle name="Normal 4 3 3 2 6 2 3" xfId="12778" xr:uid="{BEEE1E7D-EA0B-42EC-8940-7B0C3BC5A2A6}"/>
    <cellStyle name="Normal 4 3 3 2 6 3" xfId="6401" xr:uid="{00000000-0005-0000-0000-000082140000}"/>
    <cellStyle name="Normal 4 3 3 2 6 3 2" xfId="14851" xr:uid="{E0052ABC-276F-421C-AF20-8548AB513408}"/>
    <cellStyle name="Normal 4 3 3 2 6 4" xfId="10633" xr:uid="{C9772913-AF44-404B-A9A5-8CF5EEAB641E}"/>
    <cellStyle name="Normal 4 3 3 2 7" xfId="2531" xr:uid="{00000000-0005-0000-0000-000083140000}"/>
    <cellStyle name="Normal 4 3 3 2 7 2" xfId="6814" xr:uid="{00000000-0005-0000-0000-000084140000}"/>
    <cellStyle name="Normal 4 3 3 2 7 2 2" xfId="15264" xr:uid="{A0EEDC6A-DE92-4067-8264-9EE14F555C8E}"/>
    <cellStyle name="Normal 4 3 3 2 7 3" xfId="11046" xr:uid="{38F4A5ED-1B1B-4822-A588-C48CAD66A122}"/>
    <cellStyle name="Normal 4 3 3 2 8" xfId="4749" xr:uid="{00000000-0005-0000-0000-000085140000}"/>
    <cellStyle name="Normal 4 3 3 2 8 2" xfId="13199" xr:uid="{F226F36D-AF80-4280-A19D-45CF7C4042D7}"/>
    <cellStyle name="Normal 4 3 3 2 9" xfId="8981" xr:uid="{29D36AD5-47D4-473C-854D-53A1F14EC761}"/>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2A942B66-6B1A-4A2F-9213-DEE6AF43B9C3}"/>
    <cellStyle name="Normal 4 3 3 3 2 2 3" xfId="11541" xr:uid="{5A95874F-4352-4DDC-89E8-10253F06552C}"/>
    <cellStyle name="Normal 4 3 3 3 2 3" xfId="5164" xr:uid="{00000000-0005-0000-0000-00008A140000}"/>
    <cellStyle name="Normal 4 3 3 3 2 3 2" xfId="13614" xr:uid="{03AC5794-924F-4D2C-A9E0-CEE174700ACD}"/>
    <cellStyle name="Normal 4 3 3 3 2 4" xfId="9396" xr:uid="{4F9CB6AA-57BE-4F77-A1BA-8C87963153A9}"/>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1743A1A-D4A6-46D3-A940-E2A87B21C09A}"/>
    <cellStyle name="Normal 4 3 3 3 3 2 3" xfId="11954" xr:uid="{54949E1E-707C-420A-A001-6F258D1041C3}"/>
    <cellStyle name="Normal 4 3 3 3 3 3" xfId="5577" xr:uid="{00000000-0005-0000-0000-00008E140000}"/>
    <cellStyle name="Normal 4 3 3 3 3 3 2" xfId="14027" xr:uid="{7F3B8C37-0C01-4AC5-AB83-BEE65EFB6EC5}"/>
    <cellStyle name="Normal 4 3 3 3 3 4" xfId="9809" xr:uid="{F9CF8098-98FA-4DD7-9187-BFE853CCA65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958E0F4C-18F6-4F63-88E3-4152A883EB5D}"/>
    <cellStyle name="Normal 4 3 3 3 4 2 3" xfId="12367" xr:uid="{1D8FB8D6-9252-43D8-A3BC-C5D49898882B}"/>
    <cellStyle name="Normal 4 3 3 3 4 3" xfId="5990" xr:uid="{00000000-0005-0000-0000-000092140000}"/>
    <cellStyle name="Normal 4 3 3 3 4 3 2" xfId="14440" xr:uid="{D2473965-4782-4C4F-A380-C1C9A5091922}"/>
    <cellStyle name="Normal 4 3 3 3 4 4" xfId="10222" xr:uid="{D2343C42-580B-4C5B-95E3-D5CA7A26D587}"/>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7296BDD4-C164-4D69-AE4F-AB80C1D63B4C}"/>
    <cellStyle name="Normal 4 3 3 3 5 2 3" xfId="12780" xr:uid="{689269FE-5C3D-4E20-9BCE-470634F192B4}"/>
    <cellStyle name="Normal 4 3 3 3 5 3" xfId="6403" xr:uid="{00000000-0005-0000-0000-000096140000}"/>
    <cellStyle name="Normal 4 3 3 3 5 3 2" xfId="14853" xr:uid="{9F37C6F9-01ED-4B7F-BB3B-D020DCB3C9F5}"/>
    <cellStyle name="Normal 4 3 3 3 5 4" xfId="10635" xr:uid="{F812E83E-95CD-44F0-9EA3-0171C5183E6C}"/>
    <cellStyle name="Normal 4 3 3 3 6" xfId="2533" xr:uid="{00000000-0005-0000-0000-000097140000}"/>
    <cellStyle name="Normal 4 3 3 3 6 2" xfId="6816" xr:uid="{00000000-0005-0000-0000-000098140000}"/>
    <cellStyle name="Normal 4 3 3 3 6 2 2" xfId="15266" xr:uid="{F73D8A7A-DAFE-4C7C-925D-8AFFD7E3C0DE}"/>
    <cellStyle name="Normal 4 3 3 3 6 3" xfId="11048" xr:uid="{F847DC0E-1D32-48A9-8A7F-D0EA7750588C}"/>
    <cellStyle name="Normal 4 3 3 3 7" xfId="4751" xr:uid="{00000000-0005-0000-0000-000099140000}"/>
    <cellStyle name="Normal 4 3 3 3 7 2" xfId="13201" xr:uid="{BEC1410F-65B4-4F3F-A385-1A750321763F}"/>
    <cellStyle name="Normal 4 3 3 3 8" xfId="8983" xr:uid="{3597A956-ABE9-44B6-978D-3ADE197F0CD9}"/>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2EE1F473-D244-407E-AE08-366028434D10}"/>
    <cellStyle name="Normal 4 3 3 4 2 3" xfId="11538" xr:uid="{43933E46-EA6B-4C24-B4D0-63F4BC30034F}"/>
    <cellStyle name="Normal 4 3 3 4 3" xfId="5161" xr:uid="{00000000-0005-0000-0000-00009D140000}"/>
    <cellStyle name="Normal 4 3 3 4 3 2" xfId="13611" xr:uid="{7950B771-2A81-4EE9-BDB5-61CF75B03441}"/>
    <cellStyle name="Normal 4 3 3 4 4" xfId="9393" xr:uid="{9FCD2402-6976-46FD-B16D-650921729AE9}"/>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6D00F92D-73E1-4B64-9E27-5CE31A9C725B}"/>
    <cellStyle name="Normal 4 3 3 5 2 3" xfId="11951" xr:uid="{DB642867-7A76-4AB0-88EF-451796378588}"/>
    <cellStyle name="Normal 4 3 3 5 3" xfId="5574" xr:uid="{00000000-0005-0000-0000-0000A1140000}"/>
    <cellStyle name="Normal 4 3 3 5 3 2" xfId="14024" xr:uid="{E9933132-550E-4EAC-B781-36790D7B60C2}"/>
    <cellStyle name="Normal 4 3 3 5 4" xfId="9806" xr:uid="{A8D144E4-38A6-46C1-B319-BE849929C54F}"/>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E03C3DD8-FC7D-4BBF-BD42-2D396B306EBB}"/>
    <cellStyle name="Normal 4 3 3 6 2 3" xfId="12364" xr:uid="{2D91D152-EAD6-4821-9742-8A7676C0FAF1}"/>
    <cellStyle name="Normal 4 3 3 6 3" xfId="5987" xr:uid="{00000000-0005-0000-0000-0000A5140000}"/>
    <cellStyle name="Normal 4 3 3 6 3 2" xfId="14437" xr:uid="{6AAC11B5-E6F8-4DF5-A9B4-B2929F40C300}"/>
    <cellStyle name="Normal 4 3 3 6 4" xfId="10219" xr:uid="{4B87CC3D-A94F-4456-A666-A875973DE991}"/>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6DB417FA-2AC3-4131-8793-6DF13BE1B59B}"/>
    <cellStyle name="Normal 4 3 3 7 2 3" xfId="12777" xr:uid="{3EB531C1-BDEC-4699-8B39-A6791D64F266}"/>
    <cellStyle name="Normal 4 3 3 7 3" xfId="6400" xr:uid="{00000000-0005-0000-0000-0000A9140000}"/>
    <cellStyle name="Normal 4 3 3 7 3 2" xfId="14850" xr:uid="{1A7206D2-D463-4039-BB84-6AA729684145}"/>
    <cellStyle name="Normal 4 3 3 7 4" xfId="10632" xr:uid="{16F7DADB-FEA0-4B37-B7A9-9975F2F2C554}"/>
    <cellStyle name="Normal 4 3 3 8" xfId="2530" xr:uid="{00000000-0005-0000-0000-0000AA140000}"/>
    <cellStyle name="Normal 4 3 3 8 2" xfId="6813" xr:uid="{00000000-0005-0000-0000-0000AB140000}"/>
    <cellStyle name="Normal 4 3 3 8 2 2" xfId="15263" xr:uid="{26B3B6EB-7A12-41DF-A946-CEFCD5B80E86}"/>
    <cellStyle name="Normal 4 3 3 8 3" xfId="11045" xr:uid="{C8F51109-4B77-44F0-B54F-A49C377AF338}"/>
    <cellStyle name="Normal 4 3 3 9" xfId="4748" xr:uid="{00000000-0005-0000-0000-0000AC140000}"/>
    <cellStyle name="Normal 4 3 3 9 2" xfId="13198" xr:uid="{20B35F2F-2EFA-4848-B9CE-81452C8E3DDD}"/>
    <cellStyle name="Normal 4 3 4" xfId="842" xr:uid="{00000000-0005-0000-0000-0000AD140000}"/>
    <cellStyle name="Normal 4 3 4 2" xfId="3079" xr:uid="{00000000-0005-0000-0000-0000AE140000}"/>
    <cellStyle name="Normal 4 3 4 2 2" xfId="7301" xr:uid="{00000000-0005-0000-0000-0000AF140000}"/>
    <cellStyle name="Normal 4 3 4 2 2 2" xfId="15751" xr:uid="{ADDB28C3-8300-41EB-8A2F-257402C4D6A5}"/>
    <cellStyle name="Normal 4 3 4 2 3" xfId="11533" xr:uid="{461A7CE4-5821-4C00-9B4F-15898A7A751C}"/>
    <cellStyle name="Normal 4 3 4 3" xfId="5156" xr:uid="{00000000-0005-0000-0000-0000B0140000}"/>
    <cellStyle name="Normal 4 3 4 3 2" xfId="13606" xr:uid="{2B85B7FC-4B53-4A8E-89DE-006D30C306A6}"/>
    <cellStyle name="Normal 4 3 4 4" xfId="9388" xr:uid="{32DA73A0-BDC9-4BAE-86E2-781B187C535A}"/>
    <cellStyle name="Normal 4 3 5" xfId="1262" xr:uid="{00000000-0005-0000-0000-0000B1140000}"/>
    <cellStyle name="Normal 4 3 5 2" xfId="3492" xr:uid="{00000000-0005-0000-0000-0000B2140000}"/>
    <cellStyle name="Normal 4 3 5 2 2" xfId="7714" xr:uid="{00000000-0005-0000-0000-0000B3140000}"/>
    <cellStyle name="Normal 4 3 5 2 2 2" xfId="16164" xr:uid="{BD4B2FE3-EF7E-4516-90E9-999D0D3E1039}"/>
    <cellStyle name="Normal 4 3 5 2 3" xfId="11946" xr:uid="{77AC11B0-C11B-4D8D-A187-7E7ACFD0625D}"/>
    <cellStyle name="Normal 4 3 5 3" xfId="5569" xr:uid="{00000000-0005-0000-0000-0000B4140000}"/>
    <cellStyle name="Normal 4 3 5 3 2" xfId="14019" xr:uid="{5D6ABB99-36F6-487C-BE7F-4D50A821504D}"/>
    <cellStyle name="Normal 4 3 5 4" xfId="9801" xr:uid="{8BF453EB-2C1D-43A8-AC79-80BACD00A78F}"/>
    <cellStyle name="Normal 4 3 6" xfId="1675" xr:uid="{00000000-0005-0000-0000-0000B5140000}"/>
    <cellStyle name="Normal 4 3 6 2" xfId="3905" xr:uid="{00000000-0005-0000-0000-0000B6140000}"/>
    <cellStyle name="Normal 4 3 6 2 2" xfId="8127" xr:uid="{00000000-0005-0000-0000-0000B7140000}"/>
    <cellStyle name="Normal 4 3 6 2 2 2" xfId="16577" xr:uid="{8395EB20-DDDD-492C-84DD-EE1FE04C311A}"/>
    <cellStyle name="Normal 4 3 6 2 3" xfId="12359" xr:uid="{49ABEF94-D210-45E2-A222-4D65DC2C7219}"/>
    <cellStyle name="Normal 4 3 6 3" xfId="5982" xr:uid="{00000000-0005-0000-0000-0000B8140000}"/>
    <cellStyle name="Normal 4 3 6 3 2" xfId="14432" xr:uid="{38D6EC51-4B7E-4C6E-BAD7-E11213EB75A9}"/>
    <cellStyle name="Normal 4 3 6 4" xfId="10214" xr:uid="{13D1BEC3-DC1D-4A2A-9196-0149D0DB90B9}"/>
    <cellStyle name="Normal 4 3 7" xfId="2089" xr:uid="{00000000-0005-0000-0000-0000B9140000}"/>
    <cellStyle name="Normal 4 3 7 2" xfId="4318" xr:uid="{00000000-0005-0000-0000-0000BA140000}"/>
    <cellStyle name="Normal 4 3 7 2 2" xfId="8540" xr:uid="{00000000-0005-0000-0000-0000BB140000}"/>
    <cellStyle name="Normal 4 3 7 2 2 2" xfId="16990" xr:uid="{9A37B6C2-38CA-4A3F-9FCE-DBDFD69E79F5}"/>
    <cellStyle name="Normal 4 3 7 2 3" xfId="12772" xr:uid="{555186C3-0797-441B-A87C-F56137245E0B}"/>
    <cellStyle name="Normal 4 3 7 3" xfId="6395" xr:uid="{00000000-0005-0000-0000-0000BC140000}"/>
    <cellStyle name="Normal 4 3 7 3 2" xfId="14845" xr:uid="{7A17C3C0-056D-426A-89E3-328D6E947026}"/>
    <cellStyle name="Normal 4 3 7 4" xfId="10627" xr:uid="{4518DFFD-1D8B-415E-A21E-3D26BD2F7AD8}"/>
    <cellStyle name="Normal 4 3 8" xfId="2525" xr:uid="{00000000-0005-0000-0000-0000BD140000}"/>
    <cellStyle name="Normal 4 3 8 2" xfId="6808" xr:uid="{00000000-0005-0000-0000-0000BE140000}"/>
    <cellStyle name="Normal 4 3 8 2 2" xfId="15258" xr:uid="{4A7FDDD1-ADC4-4094-B73E-025DB777D262}"/>
    <cellStyle name="Normal 4 3 8 3" xfId="11040" xr:uid="{03315609-D4C0-4FB5-9148-FAFFAA5A440B}"/>
    <cellStyle name="Normal 4 3 9" xfId="4743" xr:uid="{00000000-0005-0000-0000-0000BF140000}"/>
    <cellStyle name="Normal 4 3 9 2" xfId="13193" xr:uid="{A0ABE454-AB85-4428-83D1-684112E62229}"/>
    <cellStyle name="Normal 4 4" xfId="378" xr:uid="{00000000-0005-0000-0000-0000C0140000}"/>
    <cellStyle name="Normal 4 4 10" xfId="2534" xr:uid="{00000000-0005-0000-0000-0000C1140000}"/>
    <cellStyle name="Normal 4 4 10 2" xfId="6817" xr:uid="{00000000-0005-0000-0000-0000C2140000}"/>
    <cellStyle name="Normal 4 4 10 2 2" xfId="15267" xr:uid="{B81F8292-7265-4DF8-BB13-FA435CC9F65E}"/>
    <cellStyle name="Normal 4 4 10 3" xfId="11049" xr:uid="{DBD544C9-B59B-456A-9E2C-16EFE5EECD15}"/>
    <cellStyle name="Normal 4 4 11" xfId="4752" xr:uid="{00000000-0005-0000-0000-0000C3140000}"/>
    <cellStyle name="Normal 4 4 11 2" xfId="13202" xr:uid="{986135A6-0FBB-4D41-8D5C-783DB86A1DC6}"/>
    <cellStyle name="Normal 4 4 12" xfId="8984" xr:uid="{0E751530-DA31-4813-A939-E10AC5D085F7}"/>
    <cellStyle name="Normal 4 4 2" xfId="379" xr:uid="{00000000-0005-0000-0000-0000C4140000}"/>
    <cellStyle name="Normal 4 4 2 10" xfId="4753" xr:uid="{00000000-0005-0000-0000-0000C5140000}"/>
    <cellStyle name="Normal 4 4 2 10 2" xfId="13203" xr:uid="{47C862C1-6981-4C26-80CD-985BF2A1ACBD}"/>
    <cellStyle name="Normal 4 4 2 11" xfId="8985" xr:uid="{EE879E67-E338-4755-8D0F-13E77DE941A1}"/>
    <cellStyle name="Normal 4 4 2 2" xfId="380" xr:uid="{00000000-0005-0000-0000-0000C6140000}"/>
    <cellStyle name="Normal 4 4 2 2 10" xfId="8986" xr:uid="{0F2F632E-7D4B-4C3C-AC9A-0C021DEB1015}"/>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DFE39CBA-F755-488E-8CF6-29F7E936B986}"/>
    <cellStyle name="Normal 4 4 2 2 2 2 2 2 3" xfId="11546" xr:uid="{1E3582BB-205E-4D94-9692-FF3C1A3B37E5}"/>
    <cellStyle name="Normal 4 4 2 2 2 2 2 3" xfId="5169" xr:uid="{00000000-0005-0000-0000-0000CC140000}"/>
    <cellStyle name="Normal 4 4 2 2 2 2 2 3 2" xfId="13619" xr:uid="{8E7BA7E4-111E-4EDA-A66F-05483B7792F2}"/>
    <cellStyle name="Normal 4 4 2 2 2 2 2 4" xfId="9401" xr:uid="{F414E885-56E0-4755-9EA1-79B24E70A96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2C2CD47-9BEE-4619-9DF9-41AF458FD945}"/>
    <cellStyle name="Normal 4 4 2 2 2 2 3 2 3" xfId="11959" xr:uid="{46740798-6872-4C2F-ADB0-2456A0152C18}"/>
    <cellStyle name="Normal 4 4 2 2 2 2 3 3" xfId="5582" xr:uid="{00000000-0005-0000-0000-0000D0140000}"/>
    <cellStyle name="Normal 4 4 2 2 2 2 3 3 2" xfId="14032" xr:uid="{E869FDEF-1AB0-4550-93AF-A06C87D16BA2}"/>
    <cellStyle name="Normal 4 4 2 2 2 2 3 4" xfId="9814" xr:uid="{5FC506E9-8044-4F23-9EF5-7FF19098E22D}"/>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DF00FA98-9FB1-4821-9169-D554D3E7894F}"/>
    <cellStyle name="Normal 4 4 2 2 2 2 4 2 3" xfId="12372" xr:uid="{C4C48C9B-6352-4975-B0FB-1A78B0D3D644}"/>
    <cellStyle name="Normal 4 4 2 2 2 2 4 3" xfId="5995" xr:uid="{00000000-0005-0000-0000-0000D4140000}"/>
    <cellStyle name="Normal 4 4 2 2 2 2 4 3 2" xfId="14445" xr:uid="{5E57B097-0EC5-4F11-A64D-7DCFB1B183A6}"/>
    <cellStyle name="Normal 4 4 2 2 2 2 4 4" xfId="10227" xr:uid="{17B0F1B6-09A2-4048-8C19-658BE57408BC}"/>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0AC5AB50-61E3-4B68-874E-EA86EE8713D7}"/>
    <cellStyle name="Normal 4 4 2 2 2 2 5 2 3" xfId="12785" xr:uid="{BE725B2C-215C-4382-9307-0DDD0DD12811}"/>
    <cellStyle name="Normal 4 4 2 2 2 2 5 3" xfId="6408" xr:uid="{00000000-0005-0000-0000-0000D8140000}"/>
    <cellStyle name="Normal 4 4 2 2 2 2 5 3 2" xfId="14858" xr:uid="{33CD29DE-E953-4F01-BE98-BAA762920432}"/>
    <cellStyle name="Normal 4 4 2 2 2 2 5 4" xfId="10640" xr:uid="{D08BA05F-0C7D-48F1-B0C0-79A5D1F06824}"/>
    <cellStyle name="Normal 4 4 2 2 2 2 6" xfId="2538" xr:uid="{00000000-0005-0000-0000-0000D9140000}"/>
    <cellStyle name="Normal 4 4 2 2 2 2 6 2" xfId="6821" xr:uid="{00000000-0005-0000-0000-0000DA140000}"/>
    <cellStyle name="Normal 4 4 2 2 2 2 6 2 2" xfId="15271" xr:uid="{D2EB7B64-B41F-49FC-A2EF-69BB2DD98BC0}"/>
    <cellStyle name="Normal 4 4 2 2 2 2 6 3" xfId="11053" xr:uid="{079144C7-33B0-4A49-BC8E-B653B760B5E9}"/>
    <cellStyle name="Normal 4 4 2 2 2 2 7" xfId="4756" xr:uid="{00000000-0005-0000-0000-0000DB140000}"/>
    <cellStyle name="Normal 4 4 2 2 2 2 7 2" xfId="13206" xr:uid="{73546A6A-2654-4C15-BA1E-F60A4E420FA7}"/>
    <cellStyle name="Normal 4 4 2 2 2 2 8" xfId="8988" xr:uid="{81A6060B-7282-4428-94C1-816B087759A9}"/>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0CB52CB6-C079-40EC-8B78-64EB6AB7E894}"/>
    <cellStyle name="Normal 4 4 2 2 2 3 2 3" xfId="11545" xr:uid="{02297B33-A51D-4961-9733-C51BF9101558}"/>
    <cellStyle name="Normal 4 4 2 2 2 3 3" xfId="5168" xr:uid="{00000000-0005-0000-0000-0000DF140000}"/>
    <cellStyle name="Normal 4 4 2 2 2 3 3 2" xfId="13618" xr:uid="{41C4C786-11D1-4C58-A909-C98377EF6F13}"/>
    <cellStyle name="Normal 4 4 2 2 2 3 4" xfId="9400" xr:uid="{81EBB5DC-28A3-485D-9D4D-375048142F1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380E9D94-09F1-48D1-9E9C-9CA995499612}"/>
    <cellStyle name="Normal 4 4 2 2 2 4 2 3" xfId="11958" xr:uid="{4320842F-DB0A-4EF4-A6F7-0D164AFD14E5}"/>
    <cellStyle name="Normal 4 4 2 2 2 4 3" xfId="5581" xr:uid="{00000000-0005-0000-0000-0000E3140000}"/>
    <cellStyle name="Normal 4 4 2 2 2 4 3 2" xfId="14031" xr:uid="{9370F4CC-2F69-4FC9-9E5D-2C2DBFAF289E}"/>
    <cellStyle name="Normal 4 4 2 2 2 4 4" xfId="9813" xr:uid="{547520DB-32A7-4C4C-8B33-835DE82DEE08}"/>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5957C27E-B855-434D-BA02-6719115643CE}"/>
    <cellStyle name="Normal 4 4 2 2 2 5 2 3" xfId="12371" xr:uid="{000E7170-A586-4F21-B521-3B65078F1707}"/>
    <cellStyle name="Normal 4 4 2 2 2 5 3" xfId="5994" xr:uid="{00000000-0005-0000-0000-0000E7140000}"/>
    <cellStyle name="Normal 4 4 2 2 2 5 3 2" xfId="14444" xr:uid="{B8ED8407-455F-4396-A064-C12484B60DFC}"/>
    <cellStyle name="Normal 4 4 2 2 2 5 4" xfId="10226" xr:uid="{EDFCBCC7-6670-4640-AD29-C122DDF8347D}"/>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94AC1711-3378-4550-B0E6-30F0B4B8349E}"/>
    <cellStyle name="Normal 4 4 2 2 2 6 2 3" xfId="12784" xr:uid="{5DBDE7FB-DFE1-47FD-9C6B-FB859C636062}"/>
    <cellStyle name="Normal 4 4 2 2 2 6 3" xfId="6407" xr:uid="{00000000-0005-0000-0000-0000EB140000}"/>
    <cellStyle name="Normal 4 4 2 2 2 6 3 2" xfId="14857" xr:uid="{DA7E2D15-935E-40DB-B5A6-029008870559}"/>
    <cellStyle name="Normal 4 4 2 2 2 6 4" xfId="10639" xr:uid="{29419458-D6AA-4F66-B1D8-4A06F4D4B076}"/>
    <cellStyle name="Normal 4 4 2 2 2 7" xfId="2537" xr:uid="{00000000-0005-0000-0000-0000EC140000}"/>
    <cellStyle name="Normal 4 4 2 2 2 7 2" xfId="6820" xr:uid="{00000000-0005-0000-0000-0000ED140000}"/>
    <cellStyle name="Normal 4 4 2 2 2 7 2 2" xfId="15270" xr:uid="{D1ADD719-EC07-4953-BA34-55D92A82EC23}"/>
    <cellStyle name="Normal 4 4 2 2 2 7 3" xfId="11052" xr:uid="{EE2ED192-CB23-4670-BB6A-AD1421251F49}"/>
    <cellStyle name="Normal 4 4 2 2 2 8" xfId="4755" xr:uid="{00000000-0005-0000-0000-0000EE140000}"/>
    <cellStyle name="Normal 4 4 2 2 2 8 2" xfId="13205" xr:uid="{B1D5238A-1F57-494E-919D-D3F243121E4D}"/>
    <cellStyle name="Normal 4 4 2 2 2 9" xfId="8987" xr:uid="{33C4C1F3-8E2D-4D5A-9282-8B74C2B2921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26BC7963-FD6F-4679-BB67-129B3489DE4A}"/>
    <cellStyle name="Normal 4 4 2 2 3 2 2 3" xfId="11547" xr:uid="{EFB67785-F5E3-4303-BE1F-47AF4D4E040A}"/>
    <cellStyle name="Normal 4 4 2 2 3 2 3" xfId="5170" xr:uid="{00000000-0005-0000-0000-0000F3140000}"/>
    <cellStyle name="Normal 4 4 2 2 3 2 3 2" xfId="13620" xr:uid="{FCD2750F-FF29-4A7A-B9A9-F95F2DD10976}"/>
    <cellStyle name="Normal 4 4 2 2 3 2 4" xfId="9402" xr:uid="{6B409D22-217E-4E4B-BF87-2F5971E534E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545943FB-F40F-4F4E-A7F0-FB56301216E6}"/>
    <cellStyle name="Normal 4 4 2 2 3 3 2 3" xfId="11960" xr:uid="{51D27E88-0CAC-47FA-8D7E-02F4568D590C}"/>
    <cellStyle name="Normal 4 4 2 2 3 3 3" xfId="5583" xr:uid="{00000000-0005-0000-0000-0000F7140000}"/>
    <cellStyle name="Normal 4 4 2 2 3 3 3 2" xfId="14033" xr:uid="{4E1C1C32-C0D3-4AE7-99EA-D5ADEF003779}"/>
    <cellStyle name="Normal 4 4 2 2 3 3 4" xfId="9815" xr:uid="{298F1CC9-EF70-49A6-AA28-4528BCEE6DAA}"/>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944A2362-1A4B-40EE-8B57-C094671A5215}"/>
    <cellStyle name="Normal 4 4 2 2 3 4 2 3" xfId="12373" xr:uid="{9FE8670F-1106-471E-B8C8-5FAED557C933}"/>
    <cellStyle name="Normal 4 4 2 2 3 4 3" xfId="5996" xr:uid="{00000000-0005-0000-0000-0000FB140000}"/>
    <cellStyle name="Normal 4 4 2 2 3 4 3 2" xfId="14446" xr:uid="{DB0A2CF2-BCDF-4D3D-A469-8EE976F2AC64}"/>
    <cellStyle name="Normal 4 4 2 2 3 4 4" xfId="10228" xr:uid="{AEA01686-50D8-4ED1-806F-137660CECA9E}"/>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859CCB39-E137-4F86-9C23-28F170037CF9}"/>
    <cellStyle name="Normal 4 4 2 2 3 5 2 3" xfId="12786" xr:uid="{3FD4B2A6-FCAE-46C7-959F-428DD4FC7271}"/>
    <cellStyle name="Normal 4 4 2 2 3 5 3" xfId="6409" xr:uid="{00000000-0005-0000-0000-0000FF140000}"/>
    <cellStyle name="Normal 4 4 2 2 3 5 3 2" xfId="14859" xr:uid="{FF0B692D-2661-45B3-8015-199DC973750D}"/>
    <cellStyle name="Normal 4 4 2 2 3 5 4" xfId="10641" xr:uid="{5FAD95F8-C580-48DB-9363-D172EDE5E209}"/>
    <cellStyle name="Normal 4 4 2 2 3 6" xfId="2539" xr:uid="{00000000-0005-0000-0000-000000150000}"/>
    <cellStyle name="Normal 4 4 2 2 3 6 2" xfId="6822" xr:uid="{00000000-0005-0000-0000-000001150000}"/>
    <cellStyle name="Normal 4 4 2 2 3 6 2 2" xfId="15272" xr:uid="{9B29BFF5-0EF9-4975-93C3-0813381FB5F7}"/>
    <cellStyle name="Normal 4 4 2 2 3 6 3" xfId="11054" xr:uid="{0310EC67-CBF5-43EE-89D4-6F959F16DE2E}"/>
    <cellStyle name="Normal 4 4 2 2 3 7" xfId="4757" xr:uid="{00000000-0005-0000-0000-000002150000}"/>
    <cellStyle name="Normal 4 4 2 2 3 7 2" xfId="13207" xr:uid="{E7C55B91-A6BC-4C8C-BC7D-B80CA9CE0FB8}"/>
    <cellStyle name="Normal 4 4 2 2 3 8" xfId="8989" xr:uid="{DE8DBB78-3AE3-46D8-8B72-B00D479AD813}"/>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F9681D5E-C8D7-4CF0-8E7C-8885B279A201}"/>
    <cellStyle name="Normal 4 4 2 2 4 2 3" xfId="11544" xr:uid="{91D55018-36CB-44ED-964F-9E046E23A73D}"/>
    <cellStyle name="Normal 4 4 2 2 4 3" xfId="5167" xr:uid="{00000000-0005-0000-0000-000006150000}"/>
    <cellStyle name="Normal 4 4 2 2 4 3 2" xfId="13617" xr:uid="{351EA681-CB79-47D3-AAE2-1DEE4F05616F}"/>
    <cellStyle name="Normal 4 4 2 2 4 4" xfId="9399" xr:uid="{553E639E-D002-4D30-84F4-6E5803B54C1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DAE5FEB5-481F-42FE-B0F9-B61B6D06F60F}"/>
    <cellStyle name="Normal 4 4 2 2 5 2 3" xfId="11957" xr:uid="{90A56332-B2E7-4555-ADB3-6E316FCF961D}"/>
    <cellStyle name="Normal 4 4 2 2 5 3" xfId="5580" xr:uid="{00000000-0005-0000-0000-00000A150000}"/>
    <cellStyle name="Normal 4 4 2 2 5 3 2" xfId="14030" xr:uid="{B5CCFC5F-0252-4DA8-80A1-8047259CF39B}"/>
    <cellStyle name="Normal 4 4 2 2 5 4" xfId="9812" xr:uid="{B06339E5-9679-47FE-8A28-2F2A800FB73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35AAB868-BAC8-40A1-AD6B-9381D35F2031}"/>
    <cellStyle name="Normal 4 4 2 2 6 2 3" xfId="12370" xr:uid="{032467F0-6642-46BF-9037-1A117FAA6E6A}"/>
    <cellStyle name="Normal 4 4 2 2 6 3" xfId="5993" xr:uid="{00000000-0005-0000-0000-00000E150000}"/>
    <cellStyle name="Normal 4 4 2 2 6 3 2" xfId="14443" xr:uid="{967A67D6-8351-46E2-8265-8A357019CBBB}"/>
    <cellStyle name="Normal 4 4 2 2 6 4" xfId="10225" xr:uid="{1AB74850-3E40-46D2-A959-79F9A77E9522}"/>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0A157392-45F6-4480-8954-1340A9E29926}"/>
    <cellStyle name="Normal 4 4 2 2 7 2 3" xfId="12783" xr:uid="{38E389DC-E6B7-4411-8ECC-28A1E4516B33}"/>
    <cellStyle name="Normal 4 4 2 2 7 3" xfId="6406" xr:uid="{00000000-0005-0000-0000-000012150000}"/>
    <cellStyle name="Normal 4 4 2 2 7 3 2" xfId="14856" xr:uid="{3C163600-A2A4-4512-972F-CE534437EDC5}"/>
    <cellStyle name="Normal 4 4 2 2 7 4" xfId="10638" xr:uid="{30F1B820-96FE-45A7-9624-C236061FAA31}"/>
    <cellStyle name="Normal 4 4 2 2 8" xfId="2536" xr:uid="{00000000-0005-0000-0000-000013150000}"/>
    <cellStyle name="Normal 4 4 2 2 8 2" xfId="6819" xr:uid="{00000000-0005-0000-0000-000014150000}"/>
    <cellStyle name="Normal 4 4 2 2 8 2 2" xfId="15269" xr:uid="{819CFEE1-47E0-45F5-BB9C-F07CCB533117}"/>
    <cellStyle name="Normal 4 4 2 2 8 3" xfId="11051" xr:uid="{61EA10C6-657E-4DFC-9375-E505E2F3909A}"/>
    <cellStyle name="Normal 4 4 2 2 9" xfId="4754" xr:uid="{00000000-0005-0000-0000-000015150000}"/>
    <cellStyle name="Normal 4 4 2 2 9 2" xfId="13204" xr:uid="{CB65C7F4-FE72-405D-87DF-2E6448D2D559}"/>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C192F7C4-6328-4672-B7A1-18F8A9D06623}"/>
    <cellStyle name="Normal 4 4 2 3 2 2 2 3" xfId="11549" xr:uid="{035539F6-CD57-4426-B7FC-6B91577A4216}"/>
    <cellStyle name="Normal 4 4 2 3 2 2 3" xfId="5172" xr:uid="{00000000-0005-0000-0000-00001B150000}"/>
    <cellStyle name="Normal 4 4 2 3 2 2 3 2" xfId="13622" xr:uid="{66CEA347-93E3-4535-A536-47F2F88EC921}"/>
    <cellStyle name="Normal 4 4 2 3 2 2 4" xfId="9404" xr:uid="{7AAAD9FE-3F2A-469F-91E4-FE19B7297B4E}"/>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3F9F45D6-DFE2-466A-B188-9DCC653BCDA0}"/>
    <cellStyle name="Normal 4 4 2 3 2 3 2 3" xfId="11962" xr:uid="{1BBAE999-A9A1-46BC-9C41-1D30337480B5}"/>
    <cellStyle name="Normal 4 4 2 3 2 3 3" xfId="5585" xr:uid="{00000000-0005-0000-0000-00001F150000}"/>
    <cellStyle name="Normal 4 4 2 3 2 3 3 2" xfId="14035" xr:uid="{3C6127B4-FEC6-4D6A-B53D-92B7AE415EFF}"/>
    <cellStyle name="Normal 4 4 2 3 2 3 4" xfId="9817" xr:uid="{915B89B7-AAEB-4F96-AFB1-3DA37E41D7A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1546E3B0-25D4-433B-A192-9960EA79D301}"/>
    <cellStyle name="Normal 4 4 2 3 2 4 2 3" xfId="12375" xr:uid="{EE7B6E4D-03C4-4C8B-9605-7BD29599FF34}"/>
    <cellStyle name="Normal 4 4 2 3 2 4 3" xfId="5998" xr:uid="{00000000-0005-0000-0000-000023150000}"/>
    <cellStyle name="Normal 4 4 2 3 2 4 3 2" xfId="14448" xr:uid="{95D50C95-06F8-4195-9D22-E7C470746265}"/>
    <cellStyle name="Normal 4 4 2 3 2 4 4" xfId="10230" xr:uid="{EEAD59A4-D0EA-4164-9C4B-388019167AF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BABE3BB6-F454-4B14-96B8-43B893AFA891}"/>
    <cellStyle name="Normal 4 4 2 3 2 5 2 3" xfId="12788" xr:uid="{DC8C962F-7AEE-4E0F-80A1-9CF72BD24A52}"/>
    <cellStyle name="Normal 4 4 2 3 2 5 3" xfId="6411" xr:uid="{00000000-0005-0000-0000-000027150000}"/>
    <cellStyle name="Normal 4 4 2 3 2 5 3 2" xfId="14861" xr:uid="{06FB2265-CC05-47D5-8F4C-F1EFA791CFBA}"/>
    <cellStyle name="Normal 4 4 2 3 2 5 4" xfId="10643" xr:uid="{68772801-3EB5-4236-896C-A370D447BA65}"/>
    <cellStyle name="Normal 4 4 2 3 2 6" xfId="2541" xr:uid="{00000000-0005-0000-0000-000028150000}"/>
    <cellStyle name="Normal 4 4 2 3 2 6 2" xfId="6824" xr:uid="{00000000-0005-0000-0000-000029150000}"/>
    <cellStyle name="Normal 4 4 2 3 2 6 2 2" xfId="15274" xr:uid="{8C061345-F93D-425A-90C8-ED1AA8CFE54B}"/>
    <cellStyle name="Normal 4 4 2 3 2 6 3" xfId="11056" xr:uid="{A47E9CBA-7D04-4970-825F-68829F754D04}"/>
    <cellStyle name="Normal 4 4 2 3 2 7" xfId="4759" xr:uid="{00000000-0005-0000-0000-00002A150000}"/>
    <cellStyle name="Normal 4 4 2 3 2 7 2" xfId="13209" xr:uid="{9D1BD9B1-1557-4FA9-9EE6-E507FBCB1480}"/>
    <cellStyle name="Normal 4 4 2 3 2 8" xfId="8991" xr:uid="{1C85CED5-73A3-4A3E-80E3-807059368176}"/>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8003235-30B6-4D43-AB9F-38636B3668A0}"/>
    <cellStyle name="Normal 4 4 2 3 3 2 3" xfId="11548" xr:uid="{77B5D19A-D9B0-4080-A51F-4A2D7A492338}"/>
    <cellStyle name="Normal 4 4 2 3 3 3" xfId="5171" xr:uid="{00000000-0005-0000-0000-00002E150000}"/>
    <cellStyle name="Normal 4 4 2 3 3 3 2" xfId="13621" xr:uid="{84CE922B-C394-4A4F-970F-5B8CAC1FB5B9}"/>
    <cellStyle name="Normal 4 4 2 3 3 4" xfId="9403" xr:uid="{1D83E107-22FE-46A3-9648-DECFEA1E41DE}"/>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E2A88032-02E1-41BC-87EC-3E65D1AFD380}"/>
    <cellStyle name="Normal 4 4 2 3 4 2 3" xfId="11961" xr:uid="{0A3EABE5-A009-4972-AA11-78D055AFCAF7}"/>
    <cellStyle name="Normal 4 4 2 3 4 3" xfId="5584" xr:uid="{00000000-0005-0000-0000-000032150000}"/>
    <cellStyle name="Normal 4 4 2 3 4 3 2" xfId="14034" xr:uid="{F78E81C5-5183-4D3A-9D6B-4EF34FD33A3A}"/>
    <cellStyle name="Normal 4 4 2 3 4 4" xfId="9816" xr:uid="{59242D9C-FE85-4FDF-A5E3-FD89B4272FC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016F2691-3F74-4A80-928A-57060AA1840D}"/>
    <cellStyle name="Normal 4 4 2 3 5 2 3" xfId="12374" xr:uid="{DFD71B84-53DF-4927-A7CB-9A1A7419F4C6}"/>
    <cellStyle name="Normal 4 4 2 3 5 3" xfId="5997" xr:uid="{00000000-0005-0000-0000-000036150000}"/>
    <cellStyle name="Normal 4 4 2 3 5 3 2" xfId="14447" xr:uid="{5F212717-F5A9-41D5-8D8E-20AB1219EAA6}"/>
    <cellStyle name="Normal 4 4 2 3 5 4" xfId="10229" xr:uid="{BA966443-E94D-4308-A5C0-EBA63BCD939A}"/>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B824C52E-1804-4008-9828-FDFF56670D94}"/>
    <cellStyle name="Normal 4 4 2 3 6 2 3" xfId="12787" xr:uid="{84761F55-A83E-4F39-9AAD-4BEAFAB559DF}"/>
    <cellStyle name="Normal 4 4 2 3 6 3" xfId="6410" xr:uid="{00000000-0005-0000-0000-00003A150000}"/>
    <cellStyle name="Normal 4 4 2 3 6 3 2" xfId="14860" xr:uid="{1CBC5411-1DC9-4E73-BB05-E41BB3FD4E7E}"/>
    <cellStyle name="Normal 4 4 2 3 6 4" xfId="10642" xr:uid="{8E379FC1-8326-4E4C-8AF2-530E40D2CFEB}"/>
    <cellStyle name="Normal 4 4 2 3 7" xfId="2540" xr:uid="{00000000-0005-0000-0000-00003B150000}"/>
    <cellStyle name="Normal 4 4 2 3 7 2" xfId="6823" xr:uid="{00000000-0005-0000-0000-00003C150000}"/>
    <cellStyle name="Normal 4 4 2 3 7 2 2" xfId="15273" xr:uid="{C7EA20AD-8EF9-4EC3-898E-99299EB9EDFE}"/>
    <cellStyle name="Normal 4 4 2 3 7 3" xfId="11055" xr:uid="{98DF6103-0511-4985-8C16-6DF579DD74A9}"/>
    <cellStyle name="Normal 4 4 2 3 8" xfId="4758" xr:uid="{00000000-0005-0000-0000-00003D150000}"/>
    <cellStyle name="Normal 4 4 2 3 8 2" xfId="13208" xr:uid="{63B979AC-926C-4594-89B5-08E523E37E93}"/>
    <cellStyle name="Normal 4 4 2 3 9" xfId="8990" xr:uid="{FF8D1D4C-82D6-4942-B491-49A23B97133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3246E303-C786-4905-AC23-2445E5375DD5}"/>
    <cellStyle name="Normal 4 4 2 4 2 2 3" xfId="11550" xr:uid="{FC5CD382-545C-4DD4-A2BB-BBE450227DA6}"/>
    <cellStyle name="Normal 4 4 2 4 2 3" xfId="5173" xr:uid="{00000000-0005-0000-0000-000042150000}"/>
    <cellStyle name="Normal 4 4 2 4 2 3 2" xfId="13623" xr:uid="{FD62D7BB-7A90-4B0E-9FEB-ECAC65261224}"/>
    <cellStyle name="Normal 4 4 2 4 2 4" xfId="9405" xr:uid="{760839CB-F379-41D8-9ABC-44BCB9B85330}"/>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67DD49EF-BA63-4C6B-8C54-1C179CFF0114}"/>
    <cellStyle name="Normal 4 4 2 4 3 2 3" xfId="11963" xr:uid="{F2A680CA-D4D7-4A7A-87A7-58FD5B8E8F13}"/>
    <cellStyle name="Normal 4 4 2 4 3 3" xfId="5586" xr:uid="{00000000-0005-0000-0000-000046150000}"/>
    <cellStyle name="Normal 4 4 2 4 3 3 2" xfId="14036" xr:uid="{59C88E03-02B2-4FD5-8592-DC3D0480F2D3}"/>
    <cellStyle name="Normal 4 4 2 4 3 4" xfId="9818" xr:uid="{CEBED39A-21F4-4E23-9117-1F7B0CBB0665}"/>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DF11C5E9-011C-4CA7-8087-FC7D89984FFB}"/>
    <cellStyle name="Normal 4 4 2 4 4 2 3" xfId="12376" xr:uid="{2E870AAF-21EA-4C22-8B7B-86E8BDE9E59C}"/>
    <cellStyle name="Normal 4 4 2 4 4 3" xfId="5999" xr:uid="{00000000-0005-0000-0000-00004A150000}"/>
    <cellStyle name="Normal 4 4 2 4 4 3 2" xfId="14449" xr:uid="{5136060D-2F64-412F-9FDF-2C2E7568A5F8}"/>
    <cellStyle name="Normal 4 4 2 4 4 4" xfId="10231" xr:uid="{752D0303-64E5-49F2-BCC9-615CC307FF83}"/>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DF50D5FF-50C8-4C27-96BB-4C7A4206BCF4}"/>
    <cellStyle name="Normal 4 4 2 4 5 2 3" xfId="12789" xr:uid="{7C55ABE8-F5F2-463F-8A1D-62EA21036483}"/>
    <cellStyle name="Normal 4 4 2 4 5 3" xfId="6412" xr:uid="{00000000-0005-0000-0000-00004E150000}"/>
    <cellStyle name="Normal 4 4 2 4 5 3 2" xfId="14862" xr:uid="{3E2F90EF-EEE4-4270-B900-ABFA70A2D917}"/>
    <cellStyle name="Normal 4 4 2 4 5 4" xfId="10644" xr:uid="{CDD19111-2F36-408C-B93D-7497D59E4099}"/>
    <cellStyle name="Normal 4 4 2 4 6" xfId="2542" xr:uid="{00000000-0005-0000-0000-00004F150000}"/>
    <cellStyle name="Normal 4 4 2 4 6 2" xfId="6825" xr:uid="{00000000-0005-0000-0000-000050150000}"/>
    <cellStyle name="Normal 4 4 2 4 6 2 2" xfId="15275" xr:uid="{52BCF043-0817-4CB6-B664-DC51963472CD}"/>
    <cellStyle name="Normal 4 4 2 4 6 3" xfId="11057" xr:uid="{0D83C9D2-CBED-43FD-858C-1A419F59605A}"/>
    <cellStyle name="Normal 4 4 2 4 7" xfId="4760" xr:uid="{00000000-0005-0000-0000-000051150000}"/>
    <cellStyle name="Normal 4 4 2 4 7 2" xfId="13210" xr:uid="{34747443-CA05-4045-B55C-D454D1044CB6}"/>
    <cellStyle name="Normal 4 4 2 4 8" xfId="8992" xr:uid="{0F90653B-1705-4DDC-A883-73578AB5BE88}"/>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0EAFA712-8A41-46D6-97C2-8D71064DB52E}"/>
    <cellStyle name="Normal 4 4 2 5 2 3" xfId="11543" xr:uid="{43166A1E-F743-47EB-B1E3-B8828E0C5E4E}"/>
    <cellStyle name="Normal 4 4 2 5 3" xfId="5166" xr:uid="{00000000-0005-0000-0000-000055150000}"/>
    <cellStyle name="Normal 4 4 2 5 3 2" xfId="13616" xr:uid="{C811053B-6A64-4312-9174-DFAEED375ADC}"/>
    <cellStyle name="Normal 4 4 2 5 4" xfId="9398" xr:uid="{1FE78E48-2FC5-4828-A1E7-D95019D50101}"/>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5F59D9DC-4276-44C0-9291-F4C3459C764D}"/>
    <cellStyle name="Normal 4 4 2 6 2 3" xfId="11956" xr:uid="{69E05C8F-8F3F-4DD5-B97C-36C29B7FC280}"/>
    <cellStyle name="Normal 4 4 2 6 3" xfId="5579" xr:uid="{00000000-0005-0000-0000-000059150000}"/>
    <cellStyle name="Normal 4 4 2 6 3 2" xfId="14029" xr:uid="{268BA81F-B25C-45A9-9FA3-6D672589353D}"/>
    <cellStyle name="Normal 4 4 2 6 4" xfId="9811" xr:uid="{7E6E7D06-17A2-49E3-8E63-EFD05209A97C}"/>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0A23C140-26B4-4EB7-BB9E-D66014DB31A0}"/>
    <cellStyle name="Normal 4 4 2 7 2 3" xfId="12369" xr:uid="{A39E2C29-E65E-4108-B89F-A540A4B35333}"/>
    <cellStyle name="Normal 4 4 2 7 3" xfId="5992" xr:uid="{00000000-0005-0000-0000-00005D150000}"/>
    <cellStyle name="Normal 4 4 2 7 3 2" xfId="14442" xr:uid="{73FC73A9-EA59-45D8-9B9C-2BF9A42A7D0A}"/>
    <cellStyle name="Normal 4 4 2 7 4" xfId="10224" xr:uid="{AE5208F0-B8B4-4697-9531-68754FDF3C6D}"/>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44259AB7-F02A-4A8D-90B2-3BEB2894AB6E}"/>
    <cellStyle name="Normal 4 4 2 8 2 3" xfId="12782" xr:uid="{039584D5-19FC-4D54-A4D7-92000117203D}"/>
    <cellStyle name="Normal 4 4 2 8 3" xfId="6405" xr:uid="{00000000-0005-0000-0000-000061150000}"/>
    <cellStyle name="Normal 4 4 2 8 3 2" xfId="14855" xr:uid="{0A850F1D-C02A-431D-B310-FFABFFE74A4C}"/>
    <cellStyle name="Normal 4 4 2 8 4" xfId="10637" xr:uid="{E37D7CA6-BDF2-4DBB-B853-D5DD996AB928}"/>
    <cellStyle name="Normal 4 4 2 9" xfId="2535" xr:uid="{00000000-0005-0000-0000-000062150000}"/>
    <cellStyle name="Normal 4 4 2 9 2" xfId="6818" xr:uid="{00000000-0005-0000-0000-000063150000}"/>
    <cellStyle name="Normal 4 4 2 9 2 2" xfId="15268" xr:uid="{8CD34DE8-F5BE-4AB3-976F-6BBCE3F06622}"/>
    <cellStyle name="Normal 4 4 2 9 3" xfId="11050" xr:uid="{835DDD21-7EE1-42C2-A63C-24BA9CA341DC}"/>
    <cellStyle name="Normal 4 4 3" xfId="387" xr:uid="{00000000-0005-0000-0000-000064150000}"/>
    <cellStyle name="Normal 4 4 3 10" xfId="8993" xr:uid="{81EE8B8B-140E-41BF-AFC2-62AB418C5DB9}"/>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1EBFE744-DA17-4DBB-8A55-46DDFE97634F}"/>
    <cellStyle name="Normal 4 4 3 2 2 2 2 3" xfId="11553" xr:uid="{B54C75A5-312A-4DEF-B114-7166F54DD98A}"/>
    <cellStyle name="Normal 4 4 3 2 2 2 3" xfId="5176" xr:uid="{00000000-0005-0000-0000-00006A150000}"/>
    <cellStyle name="Normal 4 4 3 2 2 2 3 2" xfId="13626" xr:uid="{99A727E1-2A62-4669-BFD4-3500EB3D5845}"/>
    <cellStyle name="Normal 4 4 3 2 2 2 4" xfId="9408" xr:uid="{3711E55C-B45D-4A7E-BBB9-EC96F87402B3}"/>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2D26B068-8E1D-4079-B944-AD55515DF88F}"/>
    <cellStyle name="Normal 4 4 3 2 2 3 2 3" xfId="11966" xr:uid="{40D9E8C1-4D64-4364-AF8E-FE771060418D}"/>
    <cellStyle name="Normal 4 4 3 2 2 3 3" xfId="5589" xr:uid="{00000000-0005-0000-0000-00006E150000}"/>
    <cellStyle name="Normal 4 4 3 2 2 3 3 2" xfId="14039" xr:uid="{3D4F5DB5-9509-495B-9F2D-0D4171682753}"/>
    <cellStyle name="Normal 4 4 3 2 2 3 4" xfId="9821" xr:uid="{70F1A9E6-A2AF-4299-8532-184CE7B9E13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74D6B277-1CB3-4591-AD2D-8B96B93DD49C}"/>
    <cellStyle name="Normal 4 4 3 2 2 4 2 3" xfId="12379" xr:uid="{152BE843-61E3-44DB-8D84-A6AEF36003C7}"/>
    <cellStyle name="Normal 4 4 3 2 2 4 3" xfId="6002" xr:uid="{00000000-0005-0000-0000-000072150000}"/>
    <cellStyle name="Normal 4 4 3 2 2 4 3 2" xfId="14452" xr:uid="{74CCB680-B744-4993-B47C-5638C78ACAFC}"/>
    <cellStyle name="Normal 4 4 3 2 2 4 4" xfId="10234" xr:uid="{6A0B5E71-DE97-4489-B0A5-E064C8BBD103}"/>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6EFAC93D-10D1-42CA-AD0A-044DBECC662A}"/>
    <cellStyle name="Normal 4 4 3 2 2 5 2 3" xfId="12792" xr:uid="{6B2F442B-1E34-4754-AC49-A2E0831155D4}"/>
    <cellStyle name="Normal 4 4 3 2 2 5 3" xfId="6415" xr:uid="{00000000-0005-0000-0000-000076150000}"/>
    <cellStyle name="Normal 4 4 3 2 2 5 3 2" xfId="14865" xr:uid="{5FE0DFBD-6150-4782-AAB9-79CA33AC98DD}"/>
    <cellStyle name="Normal 4 4 3 2 2 5 4" xfId="10647" xr:uid="{511803E8-85F0-433F-B19B-43C5739ACB65}"/>
    <cellStyle name="Normal 4 4 3 2 2 6" xfId="2545" xr:uid="{00000000-0005-0000-0000-000077150000}"/>
    <cellStyle name="Normal 4 4 3 2 2 6 2" xfId="6828" xr:uid="{00000000-0005-0000-0000-000078150000}"/>
    <cellStyle name="Normal 4 4 3 2 2 6 2 2" xfId="15278" xr:uid="{9A7BF461-31AA-43B6-AE1D-40A76F8B7BDE}"/>
    <cellStyle name="Normal 4 4 3 2 2 6 3" xfId="11060" xr:uid="{A3B792C3-7C1C-44D6-879B-52A3D0192F41}"/>
    <cellStyle name="Normal 4 4 3 2 2 7" xfId="4763" xr:uid="{00000000-0005-0000-0000-000079150000}"/>
    <cellStyle name="Normal 4 4 3 2 2 7 2" xfId="13213" xr:uid="{AF819380-00EF-4468-9482-D0C9A4F7A6F5}"/>
    <cellStyle name="Normal 4 4 3 2 2 8" xfId="8995" xr:uid="{EB5D01E3-6552-43A7-A5C2-076284E56F6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6DD46884-DB1E-4932-9C67-036BC45E4705}"/>
    <cellStyle name="Normal 4 4 3 2 3 2 3" xfId="11552" xr:uid="{B7474E17-69DF-4D49-B90A-514420A2AF72}"/>
    <cellStyle name="Normal 4 4 3 2 3 3" xfId="5175" xr:uid="{00000000-0005-0000-0000-00007D150000}"/>
    <cellStyle name="Normal 4 4 3 2 3 3 2" xfId="13625" xr:uid="{17A1AA34-5327-42CD-9D74-93DEE6C84F94}"/>
    <cellStyle name="Normal 4 4 3 2 3 4" xfId="9407" xr:uid="{82D652F5-2B7A-45AE-94C7-8E40015D0CF0}"/>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FD11389B-13D7-4D79-9CF0-1B425380B11B}"/>
    <cellStyle name="Normal 4 4 3 2 4 2 3" xfId="11965" xr:uid="{DFD318F0-881A-4328-B6E1-1253FC6C290D}"/>
    <cellStyle name="Normal 4 4 3 2 4 3" xfId="5588" xr:uid="{00000000-0005-0000-0000-000081150000}"/>
    <cellStyle name="Normal 4 4 3 2 4 3 2" xfId="14038" xr:uid="{41FA0975-3AC9-4114-AB87-6281F791C672}"/>
    <cellStyle name="Normal 4 4 3 2 4 4" xfId="9820" xr:uid="{533A4B43-67A2-45BA-A2B1-AA12CE6853C6}"/>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3FC261BF-4FAE-4666-BF40-01D9037893B8}"/>
    <cellStyle name="Normal 4 4 3 2 5 2 3" xfId="12378" xr:uid="{7D111D95-C02C-4251-BC0B-622FBE0CD71B}"/>
    <cellStyle name="Normal 4 4 3 2 5 3" xfId="6001" xr:uid="{00000000-0005-0000-0000-000085150000}"/>
    <cellStyle name="Normal 4 4 3 2 5 3 2" xfId="14451" xr:uid="{69165D52-C5B1-4159-BE44-B2D3E29C9DAB}"/>
    <cellStyle name="Normal 4 4 3 2 5 4" xfId="10233" xr:uid="{7944675E-37A1-4ED1-BBCE-F89D06C40159}"/>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DEA80BB9-A8DC-47B5-93B4-5ADAFE8E2EE8}"/>
    <cellStyle name="Normal 4 4 3 2 6 2 3" xfId="12791" xr:uid="{9D08895E-B486-4166-890F-C07615E77D91}"/>
    <cellStyle name="Normal 4 4 3 2 6 3" xfId="6414" xr:uid="{00000000-0005-0000-0000-000089150000}"/>
    <cellStyle name="Normal 4 4 3 2 6 3 2" xfId="14864" xr:uid="{352DD92A-14A1-4CCA-AF73-BF48EC79BD5B}"/>
    <cellStyle name="Normal 4 4 3 2 6 4" xfId="10646" xr:uid="{F30B8DF1-DECE-4F1E-9D9D-415CE3F471AC}"/>
    <cellStyle name="Normal 4 4 3 2 7" xfId="2544" xr:uid="{00000000-0005-0000-0000-00008A150000}"/>
    <cellStyle name="Normal 4 4 3 2 7 2" xfId="6827" xr:uid="{00000000-0005-0000-0000-00008B150000}"/>
    <cellStyle name="Normal 4 4 3 2 7 2 2" xfId="15277" xr:uid="{202E19F7-B606-466E-9680-FC25D76C7738}"/>
    <cellStyle name="Normal 4 4 3 2 7 3" xfId="11059" xr:uid="{E3F1644F-2A33-4FD8-B6CE-DE0F834059AE}"/>
    <cellStyle name="Normal 4 4 3 2 8" xfId="4762" xr:uid="{00000000-0005-0000-0000-00008C150000}"/>
    <cellStyle name="Normal 4 4 3 2 8 2" xfId="13212" xr:uid="{41637DA1-6270-4388-B1D3-B41D6269A803}"/>
    <cellStyle name="Normal 4 4 3 2 9" xfId="8994" xr:uid="{74EDA739-EC18-4F3E-810F-6F69636E9DC9}"/>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223C67F1-8DCF-47E9-B06B-1F310AA5D483}"/>
    <cellStyle name="Normal 4 4 3 3 2 2 3" xfId="11554" xr:uid="{439C93AB-7C13-4C48-B173-8E804DDE9AD7}"/>
    <cellStyle name="Normal 4 4 3 3 2 3" xfId="5177" xr:uid="{00000000-0005-0000-0000-000091150000}"/>
    <cellStyle name="Normal 4 4 3 3 2 3 2" xfId="13627" xr:uid="{3A605DE5-EBF2-46FE-B6DE-D15A734A6DBC}"/>
    <cellStyle name="Normal 4 4 3 3 2 4" xfId="9409" xr:uid="{7D0E913D-E3AF-4235-B038-C8F2C028523D}"/>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EBA783C6-AAF1-4F2D-96F7-A65A0449AC12}"/>
    <cellStyle name="Normal 4 4 3 3 3 2 3" xfId="11967" xr:uid="{D32C0370-B752-47C3-B5D2-438DC1C2DB78}"/>
    <cellStyle name="Normal 4 4 3 3 3 3" xfId="5590" xr:uid="{00000000-0005-0000-0000-000095150000}"/>
    <cellStyle name="Normal 4 4 3 3 3 3 2" xfId="14040" xr:uid="{67BD181D-4E94-4D5A-9B3A-2D1BB83DBAE5}"/>
    <cellStyle name="Normal 4 4 3 3 3 4" xfId="9822" xr:uid="{FC5F032C-CC33-475B-BF41-B6CE9610B61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37522A5C-483A-4385-AC1E-859025C9CF14}"/>
    <cellStyle name="Normal 4 4 3 3 4 2 3" xfId="12380" xr:uid="{C6F89021-EB9A-493A-9BBA-EBE331E5FEE0}"/>
    <cellStyle name="Normal 4 4 3 3 4 3" xfId="6003" xr:uid="{00000000-0005-0000-0000-000099150000}"/>
    <cellStyle name="Normal 4 4 3 3 4 3 2" xfId="14453" xr:uid="{C79D0768-682F-4D2D-B569-110873106666}"/>
    <cellStyle name="Normal 4 4 3 3 4 4" xfId="10235" xr:uid="{F3282E1E-2D09-4114-B3EF-A7A43736372F}"/>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9E4AFE69-CE77-4DD2-BBDA-204EB9664F25}"/>
    <cellStyle name="Normal 4 4 3 3 5 2 3" xfId="12793" xr:uid="{669396B2-F19A-4DEC-9D7C-794FC7F00B85}"/>
    <cellStyle name="Normal 4 4 3 3 5 3" xfId="6416" xr:uid="{00000000-0005-0000-0000-00009D150000}"/>
    <cellStyle name="Normal 4 4 3 3 5 3 2" xfId="14866" xr:uid="{A6F4A6F1-7138-46CD-BB1A-8B95D1F7BEBD}"/>
    <cellStyle name="Normal 4 4 3 3 5 4" xfId="10648" xr:uid="{C5E7FC02-EF7E-4191-9E7C-68A91FC6D3B8}"/>
    <cellStyle name="Normal 4 4 3 3 6" xfId="2546" xr:uid="{00000000-0005-0000-0000-00009E150000}"/>
    <cellStyle name="Normal 4 4 3 3 6 2" xfId="6829" xr:uid="{00000000-0005-0000-0000-00009F150000}"/>
    <cellStyle name="Normal 4 4 3 3 6 2 2" xfId="15279" xr:uid="{71D96E71-E0A3-4F1A-AE60-6916427FB2F1}"/>
    <cellStyle name="Normal 4 4 3 3 6 3" xfId="11061" xr:uid="{A8F27CB6-69AC-41FF-8D41-8F431018BC1A}"/>
    <cellStyle name="Normal 4 4 3 3 7" xfId="4764" xr:uid="{00000000-0005-0000-0000-0000A0150000}"/>
    <cellStyle name="Normal 4 4 3 3 7 2" xfId="13214" xr:uid="{89AA6D58-FDE9-4853-87EA-FCD05CE23D4B}"/>
    <cellStyle name="Normal 4 4 3 3 8" xfId="8996" xr:uid="{C30D62CE-B113-4EF9-A703-F3FD04228E75}"/>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3F15806B-7A5D-4433-99B4-5FE287AEAD49}"/>
    <cellStyle name="Normal 4 4 3 4 2 3" xfId="11551" xr:uid="{B79C6E26-6BAB-4461-872E-FDF60DD93A8F}"/>
    <cellStyle name="Normal 4 4 3 4 3" xfId="5174" xr:uid="{00000000-0005-0000-0000-0000A4150000}"/>
    <cellStyle name="Normal 4 4 3 4 3 2" xfId="13624" xr:uid="{73C46C52-9C1F-4E43-9420-79330CEAB94B}"/>
    <cellStyle name="Normal 4 4 3 4 4" xfId="9406" xr:uid="{ECE7518B-9D48-4FE0-B2A1-ED9FDE0EA776}"/>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EA71B4CA-7C4A-4441-A1B6-B95161527D82}"/>
    <cellStyle name="Normal 4 4 3 5 2 3" xfId="11964" xr:uid="{C20BC85D-C257-4833-B77A-23DB3F1A7629}"/>
    <cellStyle name="Normal 4 4 3 5 3" xfId="5587" xr:uid="{00000000-0005-0000-0000-0000A8150000}"/>
    <cellStyle name="Normal 4 4 3 5 3 2" xfId="14037" xr:uid="{038A80F4-BE8C-4659-9A59-DB10B36E40C3}"/>
    <cellStyle name="Normal 4 4 3 5 4" xfId="9819" xr:uid="{70DAD599-0563-4947-BD6A-F3A53FB17134}"/>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6FA43088-297D-4141-968C-31ECD3863560}"/>
    <cellStyle name="Normal 4 4 3 6 2 3" xfId="12377" xr:uid="{26557446-6E4A-4D37-BB26-5C142C2BD82E}"/>
    <cellStyle name="Normal 4 4 3 6 3" xfId="6000" xr:uid="{00000000-0005-0000-0000-0000AC150000}"/>
    <cellStyle name="Normal 4 4 3 6 3 2" xfId="14450" xr:uid="{FF56B79D-E4A9-4C83-9E94-83F2E9A71F3B}"/>
    <cellStyle name="Normal 4 4 3 6 4" xfId="10232" xr:uid="{D7D382AF-369B-4346-B6C4-F2F17D6E883E}"/>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1DEDDDAD-790F-4AE7-A926-6C1E04FA84EB}"/>
    <cellStyle name="Normal 4 4 3 7 2 3" xfId="12790" xr:uid="{4A455631-9D5B-43DA-98B1-715F70D946C7}"/>
    <cellStyle name="Normal 4 4 3 7 3" xfId="6413" xr:uid="{00000000-0005-0000-0000-0000B0150000}"/>
    <cellStyle name="Normal 4 4 3 7 3 2" xfId="14863" xr:uid="{F1D359CB-1C9A-4D9B-8CA9-57EBE827141C}"/>
    <cellStyle name="Normal 4 4 3 7 4" xfId="10645" xr:uid="{95C6CC3E-20AF-4EC8-AAC0-B14DE573B8BD}"/>
    <cellStyle name="Normal 4 4 3 8" xfId="2543" xr:uid="{00000000-0005-0000-0000-0000B1150000}"/>
    <cellStyle name="Normal 4 4 3 8 2" xfId="6826" xr:uid="{00000000-0005-0000-0000-0000B2150000}"/>
    <cellStyle name="Normal 4 4 3 8 2 2" xfId="15276" xr:uid="{9F50689F-E5A6-446B-9C26-B7388B1486A8}"/>
    <cellStyle name="Normal 4 4 3 8 3" xfId="11058" xr:uid="{C728D84E-A9F3-4A21-93AF-31939399054D}"/>
    <cellStyle name="Normal 4 4 3 9" xfId="4761" xr:uid="{00000000-0005-0000-0000-0000B3150000}"/>
    <cellStyle name="Normal 4 4 3 9 2" xfId="13211" xr:uid="{145933E6-C581-4918-8F80-FE857F180CCE}"/>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27B233E5-A0F6-4B55-9A2F-A195CFEC37A9}"/>
    <cellStyle name="Normal 4 4 4 2 2 2 3" xfId="11556" xr:uid="{8E778CD2-A2A8-4C09-A5BE-2F9310186A18}"/>
    <cellStyle name="Normal 4 4 4 2 2 3" xfId="5179" xr:uid="{00000000-0005-0000-0000-0000B9150000}"/>
    <cellStyle name="Normal 4 4 4 2 2 3 2" xfId="13629" xr:uid="{FF4BD135-600B-4F16-9095-5F6F33140BE4}"/>
    <cellStyle name="Normal 4 4 4 2 2 4" xfId="9411" xr:uid="{7B8B71F7-FB97-41DD-82AB-2CAA0D96DEB1}"/>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683DA6A7-BDC4-4C13-A86B-9D11338427EF}"/>
    <cellStyle name="Normal 4 4 4 2 3 2 3" xfId="11969" xr:uid="{9D81991D-983F-42BB-8F0D-AE69C200816B}"/>
    <cellStyle name="Normal 4 4 4 2 3 3" xfId="5592" xr:uid="{00000000-0005-0000-0000-0000BD150000}"/>
    <cellStyle name="Normal 4 4 4 2 3 3 2" xfId="14042" xr:uid="{AEF503A3-3344-4E0A-86F4-0C22AE5A1935}"/>
    <cellStyle name="Normal 4 4 4 2 3 4" xfId="9824" xr:uid="{FD444336-78AB-4D25-AC36-F315EF4F8FA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02DFB68E-E24A-4676-AFC9-034BC6EEB6AE}"/>
    <cellStyle name="Normal 4 4 4 2 4 2 3" xfId="12382" xr:uid="{AAAACF02-8691-4C0B-854A-ADB0E5707C9F}"/>
    <cellStyle name="Normal 4 4 4 2 4 3" xfId="6005" xr:uid="{00000000-0005-0000-0000-0000C1150000}"/>
    <cellStyle name="Normal 4 4 4 2 4 3 2" xfId="14455" xr:uid="{82668E19-04C2-4D9A-80C6-70E89E1FD2B4}"/>
    <cellStyle name="Normal 4 4 4 2 4 4" xfId="10237" xr:uid="{FEBC6C70-721F-44F0-B5B0-9F536A32F55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DF7D4076-0CF3-4611-969E-57ABBB6E8E53}"/>
    <cellStyle name="Normal 4 4 4 2 5 2 3" xfId="12795" xr:uid="{4E498084-5587-418A-81E4-999CBA3B39F1}"/>
    <cellStyle name="Normal 4 4 4 2 5 3" xfId="6418" xr:uid="{00000000-0005-0000-0000-0000C5150000}"/>
    <cellStyle name="Normal 4 4 4 2 5 3 2" xfId="14868" xr:uid="{1EAD1A4C-2E8A-48A0-8A9C-B6671886D56E}"/>
    <cellStyle name="Normal 4 4 4 2 5 4" xfId="10650" xr:uid="{0B146773-D2FD-4880-A068-38F0741F8E07}"/>
    <cellStyle name="Normal 4 4 4 2 6" xfId="2548" xr:uid="{00000000-0005-0000-0000-0000C6150000}"/>
    <cellStyle name="Normal 4 4 4 2 6 2" xfId="6831" xr:uid="{00000000-0005-0000-0000-0000C7150000}"/>
    <cellStyle name="Normal 4 4 4 2 6 2 2" xfId="15281" xr:uid="{C8CD0768-35B3-4B1C-BA7C-D36F9CC3811D}"/>
    <cellStyle name="Normal 4 4 4 2 6 3" xfId="11063" xr:uid="{989EF775-B98B-4D1C-94F1-46C012823640}"/>
    <cellStyle name="Normal 4 4 4 2 7" xfId="4766" xr:uid="{00000000-0005-0000-0000-0000C8150000}"/>
    <cellStyle name="Normal 4 4 4 2 7 2" xfId="13216" xr:uid="{FC2AD30E-C428-410B-A7C9-9E860C105350}"/>
    <cellStyle name="Normal 4 4 4 2 8" xfId="8998" xr:uid="{99BE2C1F-725A-452D-9E9F-C19B0FFE981C}"/>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451760B2-EED1-4A45-B40B-AB7B505C872F}"/>
    <cellStyle name="Normal 4 4 4 3 2 3" xfId="11555" xr:uid="{F6976927-464A-4261-963C-6E89F259E29F}"/>
    <cellStyle name="Normal 4 4 4 3 3" xfId="5178" xr:uid="{00000000-0005-0000-0000-0000CC150000}"/>
    <cellStyle name="Normal 4 4 4 3 3 2" xfId="13628" xr:uid="{705C84AA-5639-470A-9434-A7C55A3DC5D9}"/>
    <cellStyle name="Normal 4 4 4 3 4" xfId="9410" xr:uid="{590A0607-568A-47D0-B76B-4C1175D6E9CA}"/>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46D3297C-2B02-4DE3-A781-33E50269F37B}"/>
    <cellStyle name="Normal 4 4 4 4 2 3" xfId="11968" xr:uid="{AB3C5AAD-7BC8-42D7-AD5E-6CA34417BD86}"/>
    <cellStyle name="Normal 4 4 4 4 3" xfId="5591" xr:uid="{00000000-0005-0000-0000-0000D0150000}"/>
    <cellStyle name="Normal 4 4 4 4 3 2" xfId="14041" xr:uid="{89ABFE9B-FF11-4EDA-8056-A709F4CCAEF9}"/>
    <cellStyle name="Normal 4 4 4 4 4" xfId="9823" xr:uid="{0C0DD511-45A2-4EE5-A5AB-C174D6ED9B5A}"/>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0410B65C-D446-4FCC-88A5-6FB2E2B992D1}"/>
    <cellStyle name="Normal 4 4 4 5 2 3" xfId="12381" xr:uid="{641E4C95-AB8E-4EE3-B626-34D3960FF779}"/>
    <cellStyle name="Normal 4 4 4 5 3" xfId="6004" xr:uid="{00000000-0005-0000-0000-0000D4150000}"/>
    <cellStyle name="Normal 4 4 4 5 3 2" xfId="14454" xr:uid="{01D637DE-7D4F-41BD-A04F-68FE07C6DF42}"/>
    <cellStyle name="Normal 4 4 4 5 4" xfId="10236" xr:uid="{021157FF-3BD4-4B44-86D7-AA0E9941671C}"/>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510FABFA-0BA1-4001-A540-940F5EEC332B}"/>
    <cellStyle name="Normal 4 4 4 6 2 3" xfId="12794" xr:uid="{B98B5E20-2AAF-4C67-B228-DB5BF4F3282D}"/>
    <cellStyle name="Normal 4 4 4 6 3" xfId="6417" xr:uid="{00000000-0005-0000-0000-0000D8150000}"/>
    <cellStyle name="Normal 4 4 4 6 3 2" xfId="14867" xr:uid="{35CF4026-39AE-4FA6-B997-2794992CD2BC}"/>
    <cellStyle name="Normal 4 4 4 6 4" xfId="10649" xr:uid="{22092349-CC0D-4715-A13E-D591007F4FA1}"/>
    <cellStyle name="Normal 4 4 4 7" xfId="2547" xr:uid="{00000000-0005-0000-0000-0000D9150000}"/>
    <cellStyle name="Normal 4 4 4 7 2" xfId="6830" xr:uid="{00000000-0005-0000-0000-0000DA150000}"/>
    <cellStyle name="Normal 4 4 4 7 2 2" xfId="15280" xr:uid="{A643D7D4-640A-4497-8DCF-53F36D31223F}"/>
    <cellStyle name="Normal 4 4 4 7 3" xfId="11062" xr:uid="{1E7D9D8E-CEBF-46C9-A873-1625334D95F2}"/>
    <cellStyle name="Normal 4 4 4 8" xfId="4765" xr:uid="{00000000-0005-0000-0000-0000DB150000}"/>
    <cellStyle name="Normal 4 4 4 8 2" xfId="13215" xr:uid="{A2DFB267-796E-43AC-81B3-026168829E60}"/>
    <cellStyle name="Normal 4 4 4 9" xfId="8997" xr:uid="{A786EC34-BED7-40A8-B512-FDC9AA4B6AB3}"/>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F1EE366C-ABFA-4609-A6A4-163751D51A53}"/>
    <cellStyle name="Normal 4 4 5 2 2 3" xfId="11557" xr:uid="{16107C5B-E98A-4C96-8F81-8AF3A84DCFCA}"/>
    <cellStyle name="Normal 4 4 5 2 3" xfId="5180" xr:uid="{00000000-0005-0000-0000-0000E0150000}"/>
    <cellStyle name="Normal 4 4 5 2 3 2" xfId="13630" xr:uid="{F99254BE-0938-455E-B6EE-AC6C62D4694B}"/>
    <cellStyle name="Normal 4 4 5 2 4" xfId="9412" xr:uid="{A05DEAE8-59A0-4F8F-9521-633DA5E8C7A4}"/>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435DCD10-10FD-4CA1-9AB8-DE321F7D149F}"/>
    <cellStyle name="Normal 4 4 5 3 2 3" xfId="11970" xr:uid="{914018AB-7137-484B-9E6B-A53E0A6FAE81}"/>
    <cellStyle name="Normal 4 4 5 3 3" xfId="5593" xr:uid="{00000000-0005-0000-0000-0000E4150000}"/>
    <cellStyle name="Normal 4 4 5 3 3 2" xfId="14043" xr:uid="{2E5E8A10-995A-468C-9090-8E99A92BC9D3}"/>
    <cellStyle name="Normal 4 4 5 3 4" xfId="9825" xr:uid="{D06C11BD-F22B-4D6A-90B1-DFA003F993DF}"/>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0E179369-70B6-4321-86B0-76143FEEED1E}"/>
    <cellStyle name="Normal 4 4 5 4 2 3" xfId="12383" xr:uid="{774CA2DD-37D8-4823-9269-BB2FEFA30020}"/>
    <cellStyle name="Normal 4 4 5 4 3" xfId="6006" xr:uid="{00000000-0005-0000-0000-0000E8150000}"/>
    <cellStyle name="Normal 4 4 5 4 3 2" xfId="14456" xr:uid="{026937A5-22AF-4A31-AEC4-C1ECA74517F5}"/>
    <cellStyle name="Normal 4 4 5 4 4" xfId="10238" xr:uid="{A8987671-12E1-4E5C-AF38-73FEB080096D}"/>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F36BCB92-D45E-4B34-90AB-A22246F9C036}"/>
    <cellStyle name="Normal 4 4 5 5 2 3" xfId="12796" xr:uid="{456D35DB-2765-4A80-8743-7AEAD4C428EC}"/>
    <cellStyle name="Normal 4 4 5 5 3" xfId="6419" xr:uid="{00000000-0005-0000-0000-0000EC150000}"/>
    <cellStyle name="Normal 4 4 5 5 3 2" xfId="14869" xr:uid="{1DAF298B-52C8-4E1F-87D1-3E3D78A66518}"/>
    <cellStyle name="Normal 4 4 5 5 4" xfId="10651" xr:uid="{68869C98-C617-4D17-B397-04D38C254A44}"/>
    <cellStyle name="Normal 4 4 5 6" xfId="2549" xr:uid="{00000000-0005-0000-0000-0000ED150000}"/>
    <cellStyle name="Normal 4 4 5 6 2" xfId="6832" xr:uid="{00000000-0005-0000-0000-0000EE150000}"/>
    <cellStyle name="Normal 4 4 5 6 2 2" xfId="15282" xr:uid="{30F30608-355B-4F1D-A135-FDFD1D74A821}"/>
    <cellStyle name="Normal 4 4 5 6 3" xfId="11064" xr:uid="{A36F4136-C7CB-4DE4-97AF-8721AF5EEDF6}"/>
    <cellStyle name="Normal 4 4 5 7" xfId="4767" xr:uid="{00000000-0005-0000-0000-0000EF150000}"/>
    <cellStyle name="Normal 4 4 5 7 2" xfId="13217" xr:uid="{63DDE2D7-F2CB-4274-9B9C-3F3871393D88}"/>
    <cellStyle name="Normal 4 4 5 8" xfId="8999" xr:uid="{586EA913-BCBE-4EAC-B700-14320BBE997B}"/>
    <cellStyle name="Normal 4 4 6" xfId="853" xr:uid="{00000000-0005-0000-0000-0000F0150000}"/>
    <cellStyle name="Normal 4 4 6 2" xfId="3088" xr:uid="{00000000-0005-0000-0000-0000F1150000}"/>
    <cellStyle name="Normal 4 4 6 2 2" xfId="7310" xr:uid="{00000000-0005-0000-0000-0000F2150000}"/>
    <cellStyle name="Normal 4 4 6 2 2 2" xfId="15760" xr:uid="{217562FC-08C0-48D3-ABC5-4CB4395C000B}"/>
    <cellStyle name="Normal 4 4 6 2 3" xfId="11542" xr:uid="{1FFED801-5540-44BB-9714-CA71961390CA}"/>
    <cellStyle name="Normal 4 4 6 3" xfId="5165" xr:uid="{00000000-0005-0000-0000-0000F3150000}"/>
    <cellStyle name="Normal 4 4 6 3 2" xfId="13615" xr:uid="{CC7C8361-6D8E-40F2-B349-88D689978850}"/>
    <cellStyle name="Normal 4 4 6 4" xfId="9397" xr:uid="{2C8C56EA-D567-4C0B-BA51-CE9A8E302F83}"/>
    <cellStyle name="Normal 4 4 7" xfId="1271" xr:uid="{00000000-0005-0000-0000-0000F4150000}"/>
    <cellStyle name="Normal 4 4 7 2" xfId="3501" xr:uid="{00000000-0005-0000-0000-0000F5150000}"/>
    <cellStyle name="Normal 4 4 7 2 2" xfId="7723" xr:uid="{00000000-0005-0000-0000-0000F6150000}"/>
    <cellStyle name="Normal 4 4 7 2 2 2" xfId="16173" xr:uid="{2E4AD80E-FD28-403B-BE33-413C0EB1A527}"/>
    <cellStyle name="Normal 4 4 7 2 3" xfId="11955" xr:uid="{262A322B-E4C6-4603-84D7-F710495EA3B2}"/>
    <cellStyle name="Normal 4 4 7 3" xfId="5578" xr:uid="{00000000-0005-0000-0000-0000F7150000}"/>
    <cellStyle name="Normal 4 4 7 3 2" xfId="14028" xr:uid="{826A9F42-C25D-41D4-97D0-4CFE60D0F696}"/>
    <cellStyle name="Normal 4 4 7 4" xfId="9810" xr:uid="{C6EC298D-B60F-4255-90FE-89F8C07E5316}"/>
    <cellStyle name="Normal 4 4 8" xfId="1684" xr:uid="{00000000-0005-0000-0000-0000F8150000}"/>
    <cellStyle name="Normal 4 4 8 2" xfId="3914" xr:uid="{00000000-0005-0000-0000-0000F9150000}"/>
    <cellStyle name="Normal 4 4 8 2 2" xfId="8136" xr:uid="{00000000-0005-0000-0000-0000FA150000}"/>
    <cellStyle name="Normal 4 4 8 2 2 2" xfId="16586" xr:uid="{3FC70889-9C88-446A-8DA1-3A6145A4460F}"/>
    <cellStyle name="Normal 4 4 8 2 3" xfId="12368" xr:uid="{9926AB61-C283-48FA-8AB9-7938A019B362}"/>
    <cellStyle name="Normal 4 4 8 3" xfId="5991" xr:uid="{00000000-0005-0000-0000-0000FB150000}"/>
    <cellStyle name="Normal 4 4 8 3 2" xfId="14441" xr:uid="{3E567045-BF47-4C89-BF4F-D245C2C9A8C0}"/>
    <cellStyle name="Normal 4 4 8 4" xfId="10223" xr:uid="{ABEE2EBD-F462-4880-A7DC-F39C7FFDD6A4}"/>
    <cellStyle name="Normal 4 4 9" xfId="2098" xr:uid="{00000000-0005-0000-0000-0000FC150000}"/>
    <cellStyle name="Normal 4 4 9 2" xfId="4327" xr:uid="{00000000-0005-0000-0000-0000FD150000}"/>
    <cellStyle name="Normal 4 4 9 2 2" xfId="8549" xr:uid="{00000000-0005-0000-0000-0000FE150000}"/>
    <cellStyle name="Normal 4 4 9 2 2 2" xfId="16999" xr:uid="{086FD63B-E4FB-46BC-9683-EAF351D6D914}"/>
    <cellStyle name="Normal 4 4 9 2 3" xfId="12781" xr:uid="{9CA570CF-0AD8-496F-85A9-75D38F737F47}"/>
    <cellStyle name="Normal 4 4 9 3" xfId="6404" xr:uid="{00000000-0005-0000-0000-0000FF150000}"/>
    <cellStyle name="Normal 4 4 9 3 2" xfId="14854" xr:uid="{139B29EB-FA13-4728-A4E2-3CDD4CA23610}"/>
    <cellStyle name="Normal 4 4 9 4" xfId="10636" xr:uid="{2EE7DF84-D16B-4404-A8C6-6C2B9478FFA4}"/>
    <cellStyle name="Normal 4 5" xfId="394" xr:uid="{00000000-0005-0000-0000-000000160000}"/>
    <cellStyle name="Normal 4 6" xfId="395" xr:uid="{00000000-0005-0000-0000-000001160000}"/>
    <cellStyle name="Normal 4 6 10" xfId="4768" xr:uid="{00000000-0005-0000-0000-000002160000}"/>
    <cellStyle name="Normal 4 6 10 2" xfId="13218" xr:uid="{47AADF77-2673-4B95-894E-52E20DC76713}"/>
    <cellStyle name="Normal 4 6 11" xfId="9000" xr:uid="{87B42308-913D-4405-929F-96F96CC840A5}"/>
    <cellStyle name="Normal 4 6 2" xfId="396" xr:uid="{00000000-0005-0000-0000-000003160000}"/>
    <cellStyle name="Normal 4 6 2 10" xfId="9001" xr:uid="{FD61E6EA-116E-4093-AB62-A9E7F492C4C5}"/>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15AC0444-5FC5-4D90-A2A7-EE18EFFAFD11}"/>
    <cellStyle name="Normal 4 6 2 2 2 2 2 3" xfId="11561" xr:uid="{82ABE52A-0499-4F56-98FF-C51F3E967BD4}"/>
    <cellStyle name="Normal 4 6 2 2 2 2 3" xfId="5184" xr:uid="{00000000-0005-0000-0000-000009160000}"/>
    <cellStyle name="Normal 4 6 2 2 2 2 3 2" xfId="13634" xr:uid="{18D1BDC6-DA5B-43E7-8C6C-B12909B11332}"/>
    <cellStyle name="Normal 4 6 2 2 2 2 4" xfId="9416" xr:uid="{63BAA30B-56E9-4A29-9695-87FA66CCC7EC}"/>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5BC4E5C7-B8BA-4CD9-B0E7-ECEC235425B6}"/>
    <cellStyle name="Normal 4 6 2 2 2 3 2 3" xfId="11974" xr:uid="{3FA57560-F2C7-4B0E-98B7-C39F95F59577}"/>
    <cellStyle name="Normal 4 6 2 2 2 3 3" xfId="5597" xr:uid="{00000000-0005-0000-0000-00000D160000}"/>
    <cellStyle name="Normal 4 6 2 2 2 3 3 2" xfId="14047" xr:uid="{10B3D92A-65E8-4B23-8768-DBFE6EC00EC8}"/>
    <cellStyle name="Normal 4 6 2 2 2 3 4" xfId="9829" xr:uid="{4ABA3638-FF2D-4BE2-8A6E-5533FC4606C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2C1F0A57-A85E-4402-A36A-D9AEC3ADCE68}"/>
    <cellStyle name="Normal 4 6 2 2 2 4 2 3" xfId="12387" xr:uid="{9E7299AB-C03D-49B8-B33C-53628E750290}"/>
    <cellStyle name="Normal 4 6 2 2 2 4 3" xfId="6010" xr:uid="{00000000-0005-0000-0000-000011160000}"/>
    <cellStyle name="Normal 4 6 2 2 2 4 3 2" xfId="14460" xr:uid="{AE3B8570-278E-4ACB-85A6-A7E3522A908D}"/>
    <cellStyle name="Normal 4 6 2 2 2 4 4" xfId="10242" xr:uid="{C19594DB-964F-4405-A423-DC168C4C244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AC703C01-76C6-4F68-B4F3-25BC9025325D}"/>
    <cellStyle name="Normal 4 6 2 2 2 5 2 3" xfId="12800" xr:uid="{0FFE7A21-CF8D-409F-B3F1-92F44C8C6771}"/>
    <cellStyle name="Normal 4 6 2 2 2 5 3" xfId="6423" xr:uid="{00000000-0005-0000-0000-000015160000}"/>
    <cellStyle name="Normal 4 6 2 2 2 5 3 2" xfId="14873" xr:uid="{63836E68-46E1-44DD-9226-992A538FD486}"/>
    <cellStyle name="Normal 4 6 2 2 2 5 4" xfId="10655" xr:uid="{CE018007-8467-4BF4-88EC-966ED2731674}"/>
    <cellStyle name="Normal 4 6 2 2 2 6" xfId="2553" xr:uid="{00000000-0005-0000-0000-000016160000}"/>
    <cellStyle name="Normal 4 6 2 2 2 6 2" xfId="6836" xr:uid="{00000000-0005-0000-0000-000017160000}"/>
    <cellStyle name="Normal 4 6 2 2 2 6 2 2" xfId="15286" xr:uid="{214BA0F0-E6C9-4DBE-ACDD-0048A1355F83}"/>
    <cellStyle name="Normal 4 6 2 2 2 6 3" xfId="11068" xr:uid="{DF446688-DCF3-47B3-96A0-A374B363BD81}"/>
    <cellStyle name="Normal 4 6 2 2 2 7" xfId="4771" xr:uid="{00000000-0005-0000-0000-000018160000}"/>
    <cellStyle name="Normal 4 6 2 2 2 7 2" xfId="13221" xr:uid="{165AC183-1CA2-4B86-AE80-C90C0052F04D}"/>
    <cellStyle name="Normal 4 6 2 2 2 8" xfId="9003" xr:uid="{F4E8A332-1001-4C35-83DD-50104AFA13C6}"/>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33980690-6592-4731-AFE5-68655398651F}"/>
    <cellStyle name="Normal 4 6 2 2 3 2 3" xfId="11560" xr:uid="{BF8D353F-191A-45D9-A24C-63067E8E7429}"/>
    <cellStyle name="Normal 4 6 2 2 3 3" xfId="5183" xr:uid="{00000000-0005-0000-0000-00001C160000}"/>
    <cellStyle name="Normal 4 6 2 2 3 3 2" xfId="13633" xr:uid="{93E53B90-3C5C-4455-A6B7-C752F191CF90}"/>
    <cellStyle name="Normal 4 6 2 2 3 4" xfId="9415" xr:uid="{75305E54-4B5C-4716-B261-8CD5AD3FBD5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504D31E0-3664-4A0F-AD85-A337F07FF513}"/>
    <cellStyle name="Normal 4 6 2 2 4 2 3" xfId="11973" xr:uid="{49F33B2D-CD04-4BEB-8F92-443F7BEDB92A}"/>
    <cellStyle name="Normal 4 6 2 2 4 3" xfId="5596" xr:uid="{00000000-0005-0000-0000-000020160000}"/>
    <cellStyle name="Normal 4 6 2 2 4 3 2" xfId="14046" xr:uid="{2E18711E-75CD-4EFA-A89B-257267E2AA6A}"/>
    <cellStyle name="Normal 4 6 2 2 4 4" xfId="9828" xr:uid="{8D7CEE05-6133-4ADE-9D52-8BB447421EAC}"/>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A2E424BC-82D8-49AF-9505-1030CE0B747D}"/>
    <cellStyle name="Normal 4 6 2 2 5 2 3" xfId="12386" xr:uid="{467B8148-F441-404E-B5B0-B60B0C412EFF}"/>
    <cellStyle name="Normal 4 6 2 2 5 3" xfId="6009" xr:uid="{00000000-0005-0000-0000-000024160000}"/>
    <cellStyle name="Normal 4 6 2 2 5 3 2" xfId="14459" xr:uid="{5A937902-47FD-4547-95DF-8D331894849A}"/>
    <cellStyle name="Normal 4 6 2 2 5 4" xfId="10241" xr:uid="{DA81D444-407E-4982-B42B-D13321386AB9}"/>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7D01DCF6-9A62-4009-AB2F-469E268FCA56}"/>
    <cellStyle name="Normal 4 6 2 2 6 2 3" xfId="12799" xr:uid="{A2C6A402-AA14-4CD5-957D-A0443E802672}"/>
    <cellStyle name="Normal 4 6 2 2 6 3" xfId="6422" xr:uid="{00000000-0005-0000-0000-000028160000}"/>
    <cellStyle name="Normal 4 6 2 2 6 3 2" xfId="14872" xr:uid="{386B78CD-CD47-4E6F-9E0E-F7241C5D414C}"/>
    <cellStyle name="Normal 4 6 2 2 6 4" xfId="10654" xr:uid="{0294A34F-7324-48C2-A4C8-C9412638940D}"/>
    <cellStyle name="Normal 4 6 2 2 7" xfId="2552" xr:uid="{00000000-0005-0000-0000-000029160000}"/>
    <cellStyle name="Normal 4 6 2 2 7 2" xfId="6835" xr:uid="{00000000-0005-0000-0000-00002A160000}"/>
    <cellStyle name="Normal 4 6 2 2 7 2 2" xfId="15285" xr:uid="{00037B91-3B2A-49F3-84E0-4D1FB2E7D5CB}"/>
    <cellStyle name="Normal 4 6 2 2 7 3" xfId="11067" xr:uid="{9541F851-D663-4867-A15A-926385FF520E}"/>
    <cellStyle name="Normal 4 6 2 2 8" xfId="4770" xr:uid="{00000000-0005-0000-0000-00002B160000}"/>
    <cellStyle name="Normal 4 6 2 2 8 2" xfId="13220" xr:uid="{31DDE184-D93B-4EB9-91E8-06051723427F}"/>
    <cellStyle name="Normal 4 6 2 2 9" xfId="9002" xr:uid="{4F361ADE-0D1E-44F4-8912-441A5EAA118A}"/>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33D94120-84D2-4193-A0C5-00D79B120B3B}"/>
    <cellStyle name="Normal 4 6 2 3 2 2 3" xfId="11562" xr:uid="{E89FB74E-AE47-418D-8582-869F6369474E}"/>
    <cellStyle name="Normal 4 6 2 3 2 3" xfId="5185" xr:uid="{00000000-0005-0000-0000-000030160000}"/>
    <cellStyle name="Normal 4 6 2 3 2 3 2" xfId="13635" xr:uid="{6A8D85FD-ED5B-4CDE-970A-F63A988D32D5}"/>
    <cellStyle name="Normal 4 6 2 3 2 4" xfId="9417" xr:uid="{A0C9D6D8-90D9-4ACD-8C5F-CDC3B07C96E4}"/>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6ACC8A86-9398-47CD-8DEC-C08EC3E5A068}"/>
    <cellStyle name="Normal 4 6 2 3 3 2 3" xfId="11975" xr:uid="{6E3C19EE-8149-4D3D-9BDD-4568834B75C1}"/>
    <cellStyle name="Normal 4 6 2 3 3 3" xfId="5598" xr:uid="{00000000-0005-0000-0000-000034160000}"/>
    <cellStyle name="Normal 4 6 2 3 3 3 2" xfId="14048" xr:uid="{53B1013E-92C2-4AB9-9C4F-63AE23346C2B}"/>
    <cellStyle name="Normal 4 6 2 3 3 4" xfId="9830" xr:uid="{DAB5F692-5C17-4CF8-BA7C-09612FFEDAAC}"/>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49377AA3-E10C-4E7C-BF35-DB571EBB8647}"/>
    <cellStyle name="Normal 4 6 2 3 4 2 3" xfId="12388" xr:uid="{95FE4981-78E8-43C8-832A-089EBBB386E2}"/>
    <cellStyle name="Normal 4 6 2 3 4 3" xfId="6011" xr:uid="{00000000-0005-0000-0000-000038160000}"/>
    <cellStyle name="Normal 4 6 2 3 4 3 2" xfId="14461" xr:uid="{2E901581-2A98-4497-8C07-20E90F4B86BC}"/>
    <cellStyle name="Normal 4 6 2 3 4 4" xfId="10243" xr:uid="{AE0412C3-D022-4A84-87D5-00013250D9D5}"/>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5CFA6B1D-1A44-42B6-A4DD-01FB89E411A8}"/>
    <cellStyle name="Normal 4 6 2 3 5 2 3" xfId="12801" xr:uid="{DAC3E746-129A-4E7C-B378-F6A718D0A3F4}"/>
    <cellStyle name="Normal 4 6 2 3 5 3" xfId="6424" xr:uid="{00000000-0005-0000-0000-00003C160000}"/>
    <cellStyle name="Normal 4 6 2 3 5 3 2" xfId="14874" xr:uid="{3E030B0D-69E1-424C-8744-67592C9ACAC7}"/>
    <cellStyle name="Normal 4 6 2 3 5 4" xfId="10656" xr:uid="{9EEB5F10-CB43-42C7-9CE4-51A5C85EC7B1}"/>
    <cellStyle name="Normal 4 6 2 3 6" xfId="2554" xr:uid="{00000000-0005-0000-0000-00003D160000}"/>
    <cellStyle name="Normal 4 6 2 3 6 2" xfId="6837" xr:uid="{00000000-0005-0000-0000-00003E160000}"/>
    <cellStyle name="Normal 4 6 2 3 6 2 2" xfId="15287" xr:uid="{FD71DBDA-5A2B-4006-8A0D-B1093FA39182}"/>
    <cellStyle name="Normal 4 6 2 3 6 3" xfId="11069" xr:uid="{2A7E7105-EE46-4A05-96FC-595E3AD3EA87}"/>
    <cellStyle name="Normal 4 6 2 3 7" xfId="4772" xr:uid="{00000000-0005-0000-0000-00003F160000}"/>
    <cellStyle name="Normal 4 6 2 3 7 2" xfId="13222" xr:uid="{2DF3540F-0969-4C48-A34E-C64E17B85AD1}"/>
    <cellStyle name="Normal 4 6 2 3 8" xfId="9004" xr:uid="{D6FC0994-C99D-480D-A47F-D2345EDDC510}"/>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177746D6-5859-41B0-B5F9-62E3863D44F2}"/>
    <cellStyle name="Normal 4 6 2 4 2 3" xfId="11559" xr:uid="{3EC41D1F-3298-4B77-8F48-DDEF6DEDB2CC}"/>
    <cellStyle name="Normal 4 6 2 4 3" xfId="5182" xr:uid="{00000000-0005-0000-0000-000043160000}"/>
    <cellStyle name="Normal 4 6 2 4 3 2" xfId="13632" xr:uid="{F89E3A22-3213-47F0-A226-F09B59542852}"/>
    <cellStyle name="Normal 4 6 2 4 4" xfId="9414" xr:uid="{363A3D7B-7FA4-4D9D-945A-3E1E0DAE1E21}"/>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D42DC6C4-CAF5-40D4-AD9F-C016F6459CA4}"/>
    <cellStyle name="Normal 4 6 2 5 2 3" xfId="11972" xr:uid="{85DD803B-6A00-4457-9E2B-3EC5689E396B}"/>
    <cellStyle name="Normal 4 6 2 5 3" xfId="5595" xr:uid="{00000000-0005-0000-0000-000047160000}"/>
    <cellStyle name="Normal 4 6 2 5 3 2" xfId="14045" xr:uid="{5DF8945C-80DB-4358-B53D-60A9A1A47386}"/>
    <cellStyle name="Normal 4 6 2 5 4" xfId="9827" xr:uid="{C75B0CDB-55F9-42C4-8FBD-38D5ACDACFF2}"/>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81BAE152-AC29-4CC7-ADDB-C0BCDA166199}"/>
    <cellStyle name="Normal 4 6 2 6 2 3" xfId="12385" xr:uid="{9709D30C-1111-4020-BF07-9687DACD71C2}"/>
    <cellStyle name="Normal 4 6 2 6 3" xfId="6008" xr:uid="{00000000-0005-0000-0000-00004B160000}"/>
    <cellStyle name="Normal 4 6 2 6 3 2" xfId="14458" xr:uid="{7F4F0665-05FC-4CEA-AA68-206589D00B93}"/>
    <cellStyle name="Normal 4 6 2 6 4" xfId="10240" xr:uid="{9E784A6A-5E54-423D-BCF9-4345D13DFB39}"/>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78E424A1-BD16-46DE-B22C-7D6F9FA06AAF}"/>
    <cellStyle name="Normal 4 6 2 7 2 3" xfId="12798" xr:uid="{FED7D3EE-B8DE-4F0D-B6AF-52348692A635}"/>
    <cellStyle name="Normal 4 6 2 7 3" xfId="6421" xr:uid="{00000000-0005-0000-0000-00004F160000}"/>
    <cellStyle name="Normal 4 6 2 7 3 2" xfId="14871" xr:uid="{BBB22B8F-F5CA-41A7-AF29-6DE3EE642044}"/>
    <cellStyle name="Normal 4 6 2 7 4" xfId="10653" xr:uid="{743B4D01-9CEE-4AC9-9421-AF73983EBAEA}"/>
    <cellStyle name="Normal 4 6 2 8" xfId="2551" xr:uid="{00000000-0005-0000-0000-000050160000}"/>
    <cellStyle name="Normal 4 6 2 8 2" xfId="6834" xr:uid="{00000000-0005-0000-0000-000051160000}"/>
    <cellStyle name="Normal 4 6 2 8 2 2" xfId="15284" xr:uid="{56AB116F-3F45-439D-A57E-8C5D58CE90A3}"/>
    <cellStyle name="Normal 4 6 2 8 3" xfId="11066" xr:uid="{FF3C09A2-2B4B-4A28-AC6B-5FA3CDD3B5ED}"/>
    <cellStyle name="Normal 4 6 2 9" xfId="4769" xr:uid="{00000000-0005-0000-0000-000052160000}"/>
    <cellStyle name="Normal 4 6 2 9 2" xfId="13219" xr:uid="{3EB5FD06-2B83-491E-980F-5120FE539C9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B83EEFA6-1C3C-4EF6-91B2-6DE7482C4945}"/>
    <cellStyle name="Normal 4 6 3 2 2 2 3" xfId="11564" xr:uid="{75486B33-53A0-4F5D-ADEC-755CD0CECAAA}"/>
    <cellStyle name="Normal 4 6 3 2 2 3" xfId="5187" xr:uid="{00000000-0005-0000-0000-000058160000}"/>
    <cellStyle name="Normal 4 6 3 2 2 3 2" xfId="13637" xr:uid="{C28631FF-5FB3-4431-87DB-E229955C2CB7}"/>
    <cellStyle name="Normal 4 6 3 2 2 4" xfId="9419" xr:uid="{C4D890F5-F20F-4821-92E5-7F26C782B25C}"/>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5A386DF1-01B4-4F2A-9F02-96888818815D}"/>
    <cellStyle name="Normal 4 6 3 2 3 2 3" xfId="11977" xr:uid="{364FB09F-C8D9-4ABD-8CB4-2742930129C1}"/>
    <cellStyle name="Normal 4 6 3 2 3 3" xfId="5600" xr:uid="{00000000-0005-0000-0000-00005C160000}"/>
    <cellStyle name="Normal 4 6 3 2 3 3 2" xfId="14050" xr:uid="{8E0E8ED5-27AE-47EF-8C92-CFC4D7BE0234}"/>
    <cellStyle name="Normal 4 6 3 2 3 4" xfId="9832" xr:uid="{80BB908A-235D-4B79-822B-F80359AA3F95}"/>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D47C5546-E49B-4101-80E9-10EE2083F386}"/>
    <cellStyle name="Normal 4 6 3 2 4 2 3" xfId="12390" xr:uid="{A6CD16CC-59F7-47AB-9DA4-DF12D20FE3E9}"/>
    <cellStyle name="Normal 4 6 3 2 4 3" xfId="6013" xr:uid="{00000000-0005-0000-0000-000060160000}"/>
    <cellStyle name="Normal 4 6 3 2 4 3 2" xfId="14463" xr:uid="{E48ADA87-D3A6-4364-B74D-E39A3EFCE53E}"/>
    <cellStyle name="Normal 4 6 3 2 4 4" xfId="10245" xr:uid="{680D34C9-F294-406D-9D72-B585794AD778}"/>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DE9682C2-07B2-446A-B394-8D909DE72931}"/>
    <cellStyle name="Normal 4 6 3 2 5 2 3" xfId="12803" xr:uid="{FEE79473-2AC7-411F-88A9-33A7348CE384}"/>
    <cellStyle name="Normal 4 6 3 2 5 3" xfId="6426" xr:uid="{00000000-0005-0000-0000-000064160000}"/>
    <cellStyle name="Normal 4 6 3 2 5 3 2" xfId="14876" xr:uid="{F2A42B43-D5EA-4E69-8ED1-0A46E4E7447C}"/>
    <cellStyle name="Normal 4 6 3 2 5 4" xfId="10658" xr:uid="{132B3889-5ECE-4962-B75E-C8A2F1B274D6}"/>
    <cellStyle name="Normal 4 6 3 2 6" xfId="2556" xr:uid="{00000000-0005-0000-0000-000065160000}"/>
    <cellStyle name="Normal 4 6 3 2 6 2" xfId="6839" xr:uid="{00000000-0005-0000-0000-000066160000}"/>
    <cellStyle name="Normal 4 6 3 2 6 2 2" xfId="15289" xr:uid="{7EE2667F-0C7B-47BA-8380-AEBCA2B84DA5}"/>
    <cellStyle name="Normal 4 6 3 2 6 3" xfId="11071" xr:uid="{6903C07D-F265-4877-9595-BB84BAC5C4B5}"/>
    <cellStyle name="Normal 4 6 3 2 7" xfId="4774" xr:uid="{00000000-0005-0000-0000-000067160000}"/>
    <cellStyle name="Normal 4 6 3 2 7 2" xfId="13224" xr:uid="{3EDED16E-E4FA-45DF-AF20-672EACFD3180}"/>
    <cellStyle name="Normal 4 6 3 2 8" xfId="9006" xr:uid="{9715D568-D552-4AC5-9DA6-37A9D4DA3F60}"/>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11B35E28-F395-41C9-8CC8-B6999F82E7F4}"/>
    <cellStyle name="Normal 4 6 3 3 2 3" xfId="11563" xr:uid="{EF0A9C24-1386-4382-8561-09A4743148B4}"/>
    <cellStyle name="Normal 4 6 3 3 3" xfId="5186" xr:uid="{00000000-0005-0000-0000-00006B160000}"/>
    <cellStyle name="Normal 4 6 3 3 3 2" xfId="13636" xr:uid="{9E631AD4-3E70-4509-BF8C-B3E902AFAAC9}"/>
    <cellStyle name="Normal 4 6 3 3 4" xfId="9418" xr:uid="{70E3101C-777E-4B60-80BA-811B3B6B8E19}"/>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52727EB2-D80C-465C-8A5D-35729C764DA4}"/>
    <cellStyle name="Normal 4 6 3 4 2 3" xfId="11976" xr:uid="{1FA6E297-4657-40F7-9F4F-81EADBB30211}"/>
    <cellStyle name="Normal 4 6 3 4 3" xfId="5599" xr:uid="{00000000-0005-0000-0000-00006F160000}"/>
    <cellStyle name="Normal 4 6 3 4 3 2" xfId="14049" xr:uid="{457604E3-44B4-4650-8C05-56AA62FF3231}"/>
    <cellStyle name="Normal 4 6 3 4 4" xfId="9831" xr:uid="{E1721AF1-E577-43EE-B83A-75AB58FE0AD5}"/>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60F36992-C29D-480D-97E6-7AE45000A247}"/>
    <cellStyle name="Normal 4 6 3 5 2 3" xfId="12389" xr:uid="{033EAB18-07F1-4BB6-A0EB-4EB5BD9D881B}"/>
    <cellStyle name="Normal 4 6 3 5 3" xfId="6012" xr:uid="{00000000-0005-0000-0000-000073160000}"/>
    <cellStyle name="Normal 4 6 3 5 3 2" xfId="14462" xr:uid="{14D574E7-B72C-4D05-A8C0-4AA7B1922BB7}"/>
    <cellStyle name="Normal 4 6 3 5 4" xfId="10244" xr:uid="{956279AB-9417-45EA-B829-6C9A1212FD50}"/>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E14B448A-9CA1-4B12-B556-1EBB972F5014}"/>
    <cellStyle name="Normal 4 6 3 6 2 3" xfId="12802" xr:uid="{4E41FE6E-935A-49F4-AD3B-CDC2215FAF33}"/>
    <cellStyle name="Normal 4 6 3 6 3" xfId="6425" xr:uid="{00000000-0005-0000-0000-000077160000}"/>
    <cellStyle name="Normal 4 6 3 6 3 2" xfId="14875" xr:uid="{956D2DE5-C529-4566-9152-77C0A202653B}"/>
    <cellStyle name="Normal 4 6 3 6 4" xfId="10657" xr:uid="{FB7D2503-5999-4141-B590-DF24E792003F}"/>
    <cellStyle name="Normal 4 6 3 7" xfId="2555" xr:uid="{00000000-0005-0000-0000-000078160000}"/>
    <cellStyle name="Normal 4 6 3 7 2" xfId="6838" xr:uid="{00000000-0005-0000-0000-000079160000}"/>
    <cellStyle name="Normal 4 6 3 7 2 2" xfId="15288" xr:uid="{EC528254-44AD-48C4-8239-F09F7BEB8100}"/>
    <cellStyle name="Normal 4 6 3 7 3" xfId="11070" xr:uid="{F0536460-71B5-4D08-8271-B8565726BAB0}"/>
    <cellStyle name="Normal 4 6 3 8" xfId="4773" xr:uid="{00000000-0005-0000-0000-00007A160000}"/>
    <cellStyle name="Normal 4 6 3 8 2" xfId="13223" xr:uid="{EA24D1CC-DC67-4D6E-9ED7-C68B54B12212}"/>
    <cellStyle name="Normal 4 6 3 9" xfId="9005" xr:uid="{B37A8444-7F8C-49E6-B9C2-538A955FB2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7B5EA340-EE8D-43C2-88FB-692538ECE3F9}"/>
    <cellStyle name="Normal 4 6 4 2 2 3" xfId="11565" xr:uid="{442125A6-2B33-4E3A-A8F6-A86D2FDFCA12}"/>
    <cellStyle name="Normal 4 6 4 2 3" xfId="5188" xr:uid="{00000000-0005-0000-0000-00007F160000}"/>
    <cellStyle name="Normal 4 6 4 2 3 2" xfId="13638" xr:uid="{9B7269C7-FEEA-44A5-9003-A83F174A1B22}"/>
    <cellStyle name="Normal 4 6 4 2 4" xfId="9420" xr:uid="{F8DD946A-30E7-4490-A02D-A571CFBDE7E1}"/>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7D9055C2-99AC-4A8A-A87E-EA0430DD4AAA}"/>
    <cellStyle name="Normal 4 6 4 3 2 3" xfId="11978" xr:uid="{93BFD011-366D-42DB-9AE5-84F4FA4ADF3C}"/>
    <cellStyle name="Normal 4 6 4 3 3" xfId="5601" xr:uid="{00000000-0005-0000-0000-000083160000}"/>
    <cellStyle name="Normal 4 6 4 3 3 2" xfId="14051" xr:uid="{ACDC0E87-122E-4C4F-A6F3-7B642C29D9AC}"/>
    <cellStyle name="Normal 4 6 4 3 4" xfId="9833" xr:uid="{3A80EAF0-C7A3-4504-8853-544B793B097B}"/>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8D60C5DA-923F-421F-AB26-2F3BAE775BFE}"/>
    <cellStyle name="Normal 4 6 4 4 2 3" xfId="12391" xr:uid="{00B358E8-9730-4EAD-8B0B-D45464D15AB7}"/>
    <cellStyle name="Normal 4 6 4 4 3" xfId="6014" xr:uid="{00000000-0005-0000-0000-000087160000}"/>
    <cellStyle name="Normal 4 6 4 4 3 2" xfId="14464" xr:uid="{BB2F5F7A-BA21-49F6-982A-14100D5489E6}"/>
    <cellStyle name="Normal 4 6 4 4 4" xfId="10246" xr:uid="{705B440B-350C-4765-951A-38F90A856B14}"/>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3B4C5573-5404-46F9-A915-9C2AD644FC77}"/>
    <cellStyle name="Normal 4 6 4 5 2 3" xfId="12804" xr:uid="{E06B114D-D8C3-4E22-8D8A-E6358FD51000}"/>
    <cellStyle name="Normal 4 6 4 5 3" xfId="6427" xr:uid="{00000000-0005-0000-0000-00008B160000}"/>
    <cellStyle name="Normal 4 6 4 5 3 2" xfId="14877" xr:uid="{A5F2F073-C5F7-43AD-A328-D89E949A3F36}"/>
    <cellStyle name="Normal 4 6 4 5 4" xfId="10659" xr:uid="{4C1276FC-D2DC-4C71-97BB-6D93464A79AE}"/>
    <cellStyle name="Normal 4 6 4 6" xfId="2557" xr:uid="{00000000-0005-0000-0000-00008C160000}"/>
    <cellStyle name="Normal 4 6 4 6 2" xfId="6840" xr:uid="{00000000-0005-0000-0000-00008D160000}"/>
    <cellStyle name="Normal 4 6 4 6 2 2" xfId="15290" xr:uid="{C9F8BD89-A46A-4970-AC53-23DE8F4A229D}"/>
    <cellStyle name="Normal 4 6 4 6 3" xfId="11072" xr:uid="{847335C7-7D44-4A64-AE11-B0006C70668F}"/>
    <cellStyle name="Normal 4 6 4 7" xfId="4775" xr:uid="{00000000-0005-0000-0000-00008E160000}"/>
    <cellStyle name="Normal 4 6 4 7 2" xfId="13225" xr:uid="{A0624E73-F9E9-44B1-847F-4BF672A97F91}"/>
    <cellStyle name="Normal 4 6 4 8" xfId="9007" xr:uid="{BEC7093C-54DE-465D-AFB4-D1299C220B15}"/>
    <cellStyle name="Normal 4 6 5" xfId="869" xr:uid="{00000000-0005-0000-0000-00008F160000}"/>
    <cellStyle name="Normal 4 6 5 2" xfId="3104" xr:uid="{00000000-0005-0000-0000-000090160000}"/>
    <cellStyle name="Normal 4 6 5 2 2" xfId="7326" xr:uid="{00000000-0005-0000-0000-000091160000}"/>
    <cellStyle name="Normal 4 6 5 2 2 2" xfId="15776" xr:uid="{F3F5EDAD-9892-4289-BDBF-E3F65C018C80}"/>
    <cellStyle name="Normal 4 6 5 2 3" xfId="11558" xr:uid="{04C44139-147F-4183-B943-B66404C6399A}"/>
    <cellStyle name="Normal 4 6 5 3" xfId="5181" xr:uid="{00000000-0005-0000-0000-000092160000}"/>
    <cellStyle name="Normal 4 6 5 3 2" xfId="13631" xr:uid="{9745FD72-F517-4F1E-8D40-FB5AF1846853}"/>
    <cellStyle name="Normal 4 6 5 4" xfId="9413" xr:uid="{AE1640DB-50BA-4467-AAE5-F3C035F74445}"/>
    <cellStyle name="Normal 4 6 6" xfId="1287" xr:uid="{00000000-0005-0000-0000-000093160000}"/>
    <cellStyle name="Normal 4 6 6 2" xfId="3517" xr:uid="{00000000-0005-0000-0000-000094160000}"/>
    <cellStyle name="Normal 4 6 6 2 2" xfId="7739" xr:uid="{00000000-0005-0000-0000-000095160000}"/>
    <cellStyle name="Normal 4 6 6 2 2 2" xfId="16189" xr:uid="{95A4DAE6-E12A-40CB-A105-5AF9D3C77873}"/>
    <cellStyle name="Normal 4 6 6 2 3" xfId="11971" xr:uid="{07C010FB-0C9D-4EE5-BB30-7537C8581B96}"/>
    <cellStyle name="Normal 4 6 6 3" xfId="5594" xr:uid="{00000000-0005-0000-0000-000096160000}"/>
    <cellStyle name="Normal 4 6 6 3 2" xfId="14044" xr:uid="{244A8815-8D81-450E-A102-462D8872D0FD}"/>
    <cellStyle name="Normal 4 6 6 4" xfId="9826" xr:uid="{3E296AE5-7DA2-4C0A-B889-707985EB0F97}"/>
    <cellStyle name="Normal 4 6 7" xfId="1700" xr:uid="{00000000-0005-0000-0000-000097160000}"/>
    <cellStyle name="Normal 4 6 7 2" xfId="3930" xr:uid="{00000000-0005-0000-0000-000098160000}"/>
    <cellStyle name="Normal 4 6 7 2 2" xfId="8152" xr:uid="{00000000-0005-0000-0000-000099160000}"/>
    <cellStyle name="Normal 4 6 7 2 2 2" xfId="16602" xr:uid="{DFB32BBE-2955-4093-9888-2797FF43E69B}"/>
    <cellStyle name="Normal 4 6 7 2 3" xfId="12384" xr:uid="{2B8F52D6-F0C7-4D2F-B24C-71FAD06B4BD0}"/>
    <cellStyle name="Normal 4 6 7 3" xfId="6007" xr:uid="{00000000-0005-0000-0000-00009A160000}"/>
    <cellStyle name="Normal 4 6 7 3 2" xfId="14457" xr:uid="{0C267C39-B350-47E8-B78D-2AFEEC1290AC}"/>
    <cellStyle name="Normal 4 6 7 4" xfId="10239" xr:uid="{F6DBE55E-5257-4825-974C-BD04BCDC0E75}"/>
    <cellStyle name="Normal 4 6 8" xfId="2114" xr:uid="{00000000-0005-0000-0000-00009B160000}"/>
    <cellStyle name="Normal 4 6 8 2" xfId="4343" xr:uid="{00000000-0005-0000-0000-00009C160000}"/>
    <cellStyle name="Normal 4 6 8 2 2" xfId="8565" xr:uid="{00000000-0005-0000-0000-00009D160000}"/>
    <cellStyle name="Normal 4 6 8 2 2 2" xfId="17015" xr:uid="{DAF41EEB-FD76-4604-9712-6F810047F9F6}"/>
    <cellStyle name="Normal 4 6 8 2 3" xfId="12797" xr:uid="{EEE10579-BB28-4E06-9A08-A5C5852838B6}"/>
    <cellStyle name="Normal 4 6 8 3" xfId="6420" xr:uid="{00000000-0005-0000-0000-00009E160000}"/>
    <cellStyle name="Normal 4 6 8 3 2" xfId="14870" xr:uid="{20E8102E-BDAB-4166-9AD3-4F8AF3B3B67C}"/>
    <cellStyle name="Normal 4 6 8 4" xfId="10652" xr:uid="{21C140EE-9667-4928-92DB-2252424B0BA2}"/>
    <cellStyle name="Normal 4 6 9" xfId="2550" xr:uid="{00000000-0005-0000-0000-00009F160000}"/>
    <cellStyle name="Normal 4 6 9 2" xfId="6833" xr:uid="{00000000-0005-0000-0000-0000A0160000}"/>
    <cellStyle name="Normal 4 6 9 2 2" xfId="15283" xr:uid="{6F152292-3822-458B-BE4A-5B2DCDC9EF46}"/>
    <cellStyle name="Normal 4 6 9 3" xfId="11065" xr:uid="{FA8E5954-0FC3-4567-8CB6-0168D1EAF574}"/>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2A3AD6AC-5EFA-4F20-86AF-B83D7B678010}"/>
    <cellStyle name="Normal 4 7 2 2 2 3" xfId="11567" xr:uid="{A7D5B33C-2F43-4748-AD5B-3ADF0FE3540A}"/>
    <cellStyle name="Normal 4 7 2 2 3" xfId="5190" xr:uid="{00000000-0005-0000-0000-0000A6160000}"/>
    <cellStyle name="Normal 4 7 2 2 3 2" xfId="13640" xr:uid="{7CD1D51D-A800-40A1-8447-5CC532B82C05}"/>
    <cellStyle name="Normal 4 7 2 2 4" xfId="9422" xr:uid="{064EBCA1-33F0-47A9-97FF-389D9BF86B61}"/>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A80B44AF-3037-42A9-883D-B5096FE5D53A}"/>
    <cellStyle name="Normal 4 7 2 3 2 3" xfId="11980" xr:uid="{E65B8D6B-F5A9-4FCD-AB60-A87851E51D57}"/>
    <cellStyle name="Normal 4 7 2 3 3" xfId="5603" xr:uid="{00000000-0005-0000-0000-0000AA160000}"/>
    <cellStyle name="Normal 4 7 2 3 3 2" xfId="14053" xr:uid="{3DF5A1D2-1893-44D1-8AB1-BAD603CB776C}"/>
    <cellStyle name="Normal 4 7 2 3 4" xfId="9835" xr:uid="{6B628310-4108-4E38-83BC-1B3473C91A70}"/>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AEC1983A-CF04-4D59-9D65-3F3646403472}"/>
    <cellStyle name="Normal 4 7 2 4 2 3" xfId="12393" xr:uid="{DE58A882-5747-4F45-AE8A-DDBC48C2E49C}"/>
    <cellStyle name="Normal 4 7 2 4 3" xfId="6016" xr:uid="{00000000-0005-0000-0000-0000AE160000}"/>
    <cellStyle name="Normal 4 7 2 4 3 2" xfId="14466" xr:uid="{D0E2D09F-B8D9-45F9-A3B9-5B7C91737A6C}"/>
    <cellStyle name="Normal 4 7 2 4 4" xfId="10248" xr:uid="{E3B3C117-7624-4F9F-8722-BE4027930CD0}"/>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954CB8A8-DE94-44C3-9C9B-4AB4699D5EE5}"/>
    <cellStyle name="Normal 4 7 2 5 2 3" xfId="12806" xr:uid="{CA99D5AF-D67E-43E8-B717-5100A280C870}"/>
    <cellStyle name="Normal 4 7 2 5 3" xfId="6429" xr:uid="{00000000-0005-0000-0000-0000B2160000}"/>
    <cellStyle name="Normal 4 7 2 5 3 2" xfId="14879" xr:uid="{72DD4F89-C488-4905-B8D5-FF3F3AAAB3F7}"/>
    <cellStyle name="Normal 4 7 2 5 4" xfId="10661" xr:uid="{93638F99-71DC-45EF-9F04-39BE22C59228}"/>
    <cellStyle name="Normal 4 7 2 6" xfId="2559" xr:uid="{00000000-0005-0000-0000-0000B3160000}"/>
    <cellStyle name="Normal 4 7 2 6 2" xfId="6842" xr:uid="{00000000-0005-0000-0000-0000B4160000}"/>
    <cellStyle name="Normal 4 7 2 6 2 2" xfId="15292" xr:uid="{71161C3A-17D5-437A-ACDD-A8E249606ECD}"/>
    <cellStyle name="Normal 4 7 2 6 3" xfId="11074" xr:uid="{B5619165-6E64-4805-9B81-090068DB46F0}"/>
    <cellStyle name="Normal 4 7 2 7" xfId="4777" xr:uid="{00000000-0005-0000-0000-0000B5160000}"/>
    <cellStyle name="Normal 4 7 2 7 2" xfId="13227" xr:uid="{262D649F-9B56-49ED-865E-1CAD0156A083}"/>
    <cellStyle name="Normal 4 7 2 8" xfId="9009" xr:uid="{9595ED82-3BCD-4762-BD88-AB8E28585C51}"/>
    <cellStyle name="Normal 4 7 3" xfId="877" xr:uid="{00000000-0005-0000-0000-0000B6160000}"/>
    <cellStyle name="Normal 4 7 3 2" xfId="3112" xr:uid="{00000000-0005-0000-0000-0000B7160000}"/>
    <cellStyle name="Normal 4 7 3 2 2" xfId="7334" xr:uid="{00000000-0005-0000-0000-0000B8160000}"/>
    <cellStyle name="Normal 4 7 3 2 2 2" xfId="15784" xr:uid="{68664244-5EB6-4AB2-841F-13379ACE6614}"/>
    <cellStyle name="Normal 4 7 3 2 3" xfId="11566" xr:uid="{042B7CBA-CBA5-4255-A315-EAEC39F140FE}"/>
    <cellStyle name="Normal 4 7 3 3" xfId="5189" xr:uid="{00000000-0005-0000-0000-0000B9160000}"/>
    <cellStyle name="Normal 4 7 3 3 2" xfId="13639" xr:uid="{75830C7E-73FF-4DAB-AC22-6B81474334F5}"/>
    <cellStyle name="Normal 4 7 3 4" xfId="9421" xr:uid="{2234D0E2-A1F3-4155-BC20-B1782521ACEE}"/>
    <cellStyle name="Normal 4 7 4" xfId="1295" xr:uid="{00000000-0005-0000-0000-0000BA160000}"/>
    <cellStyle name="Normal 4 7 4 2" xfId="3525" xr:uid="{00000000-0005-0000-0000-0000BB160000}"/>
    <cellStyle name="Normal 4 7 4 2 2" xfId="7747" xr:uid="{00000000-0005-0000-0000-0000BC160000}"/>
    <cellStyle name="Normal 4 7 4 2 2 2" xfId="16197" xr:uid="{C02814D1-F49B-4492-A6C3-4FF19DADB5BB}"/>
    <cellStyle name="Normal 4 7 4 2 3" xfId="11979" xr:uid="{27AA9693-56B0-4D87-8F7F-ED8C923D0366}"/>
    <cellStyle name="Normal 4 7 4 3" xfId="5602" xr:uid="{00000000-0005-0000-0000-0000BD160000}"/>
    <cellStyle name="Normal 4 7 4 3 2" xfId="14052" xr:uid="{A64A8F7A-5B4C-4852-918A-88A98796C062}"/>
    <cellStyle name="Normal 4 7 4 4" xfId="9834" xr:uid="{8CB55C52-4CB3-4B42-ABE0-C8E6918314D1}"/>
    <cellStyle name="Normal 4 7 5" xfId="1708" xr:uid="{00000000-0005-0000-0000-0000BE160000}"/>
    <cellStyle name="Normal 4 7 5 2" xfId="3938" xr:uid="{00000000-0005-0000-0000-0000BF160000}"/>
    <cellStyle name="Normal 4 7 5 2 2" xfId="8160" xr:uid="{00000000-0005-0000-0000-0000C0160000}"/>
    <cellStyle name="Normal 4 7 5 2 2 2" xfId="16610" xr:uid="{86D6B4BB-47BC-4BF2-B6C9-34107D9D94A6}"/>
    <cellStyle name="Normal 4 7 5 2 3" xfId="12392" xr:uid="{2158F9D4-5A54-4AE5-AEEB-F7A4811314D6}"/>
    <cellStyle name="Normal 4 7 5 3" xfId="6015" xr:uid="{00000000-0005-0000-0000-0000C1160000}"/>
    <cellStyle name="Normal 4 7 5 3 2" xfId="14465" xr:uid="{7063DDCA-EF72-4750-A2CE-DA61F97B7F7D}"/>
    <cellStyle name="Normal 4 7 5 4" xfId="10247" xr:uid="{1484BC2B-69BE-4C5A-A34C-9511770F86A5}"/>
    <cellStyle name="Normal 4 7 6" xfId="2122" xr:uid="{00000000-0005-0000-0000-0000C2160000}"/>
    <cellStyle name="Normal 4 7 6 2" xfId="4351" xr:uid="{00000000-0005-0000-0000-0000C3160000}"/>
    <cellStyle name="Normal 4 7 6 2 2" xfId="8573" xr:uid="{00000000-0005-0000-0000-0000C4160000}"/>
    <cellStyle name="Normal 4 7 6 2 2 2" xfId="17023" xr:uid="{9E47CD9D-594A-4746-8856-56B915433DA7}"/>
    <cellStyle name="Normal 4 7 6 2 3" xfId="12805" xr:uid="{267557F8-315C-4107-B016-55FE1F51090E}"/>
    <cellStyle name="Normal 4 7 6 3" xfId="6428" xr:uid="{00000000-0005-0000-0000-0000C5160000}"/>
    <cellStyle name="Normal 4 7 6 3 2" xfId="14878" xr:uid="{94D4E49B-E268-406B-81F5-5EAD6E81E042}"/>
    <cellStyle name="Normal 4 7 6 4" xfId="10660" xr:uid="{27EFBD3F-75FB-4CFE-AB11-59395582D573}"/>
    <cellStyle name="Normal 4 7 7" xfId="2558" xr:uid="{00000000-0005-0000-0000-0000C6160000}"/>
    <cellStyle name="Normal 4 7 7 2" xfId="6841" xr:uid="{00000000-0005-0000-0000-0000C7160000}"/>
    <cellStyle name="Normal 4 7 7 2 2" xfId="15291" xr:uid="{A30CE372-6E6F-4EDD-87EF-0296098682D4}"/>
    <cellStyle name="Normal 4 7 7 3" xfId="11073" xr:uid="{CB793E06-E86B-42D0-9A28-DB345D58176B}"/>
    <cellStyle name="Normal 4 7 8" xfId="4776" xr:uid="{00000000-0005-0000-0000-0000C8160000}"/>
    <cellStyle name="Normal 4 7 8 2" xfId="13226" xr:uid="{777B0078-BAF4-4ABB-AFD9-1BC023FED706}"/>
    <cellStyle name="Normal 4 7 9" xfId="9008" xr:uid="{6480E936-F758-44AA-A8C4-B1F2ADBD644F}"/>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D34903F0-7413-4C51-A283-C3F8E5098B65}"/>
    <cellStyle name="Normal 4 8 2 2 3" xfId="11568" xr:uid="{69B6034F-6763-4CB5-BE70-CAD273CE390F}"/>
    <cellStyle name="Normal 4 8 2 3" xfId="5191" xr:uid="{00000000-0005-0000-0000-0000CD160000}"/>
    <cellStyle name="Normal 4 8 2 3 2" xfId="13641" xr:uid="{BF0E73D8-C6A7-46E1-82D0-86B1185455DD}"/>
    <cellStyle name="Normal 4 8 2 4" xfId="9423" xr:uid="{DE96AA3B-5FB7-43FA-9477-B4BA29538096}"/>
    <cellStyle name="Normal 4 8 3" xfId="1297" xr:uid="{00000000-0005-0000-0000-0000CE160000}"/>
    <cellStyle name="Normal 4 8 3 2" xfId="3527" xr:uid="{00000000-0005-0000-0000-0000CF160000}"/>
    <cellStyle name="Normal 4 8 3 2 2" xfId="7749" xr:uid="{00000000-0005-0000-0000-0000D0160000}"/>
    <cellStyle name="Normal 4 8 3 2 2 2" xfId="16199" xr:uid="{8E0AE666-AFBA-47D9-BBF0-29219DE9E247}"/>
    <cellStyle name="Normal 4 8 3 2 3" xfId="11981" xr:uid="{BC0A0B18-5E80-4AC1-A751-64B6ED81BFEB}"/>
    <cellStyle name="Normal 4 8 3 3" xfId="5604" xr:uid="{00000000-0005-0000-0000-0000D1160000}"/>
    <cellStyle name="Normal 4 8 3 3 2" xfId="14054" xr:uid="{F0FAD385-F8BC-4185-A618-400F165C34C8}"/>
    <cellStyle name="Normal 4 8 3 4" xfId="9836" xr:uid="{DC3C4932-893F-4213-B7C9-FE3C96EBB50D}"/>
    <cellStyle name="Normal 4 8 4" xfId="1710" xr:uid="{00000000-0005-0000-0000-0000D2160000}"/>
    <cellStyle name="Normal 4 8 4 2" xfId="3940" xr:uid="{00000000-0005-0000-0000-0000D3160000}"/>
    <cellStyle name="Normal 4 8 4 2 2" xfId="8162" xr:uid="{00000000-0005-0000-0000-0000D4160000}"/>
    <cellStyle name="Normal 4 8 4 2 2 2" xfId="16612" xr:uid="{0BA3A47F-D328-420B-834A-A2974D47F570}"/>
    <cellStyle name="Normal 4 8 4 2 3" xfId="12394" xr:uid="{1DFF5AE5-0D6C-4EE9-909A-19322359CA32}"/>
    <cellStyle name="Normal 4 8 4 3" xfId="6017" xr:uid="{00000000-0005-0000-0000-0000D5160000}"/>
    <cellStyle name="Normal 4 8 4 3 2" xfId="14467" xr:uid="{BB04BB18-D339-4568-8859-FD0D3A04C95D}"/>
    <cellStyle name="Normal 4 8 4 4" xfId="10249" xr:uid="{5252260B-4414-4023-BAED-AAEC5611DEC5}"/>
    <cellStyle name="Normal 4 8 5" xfId="2124" xr:uid="{00000000-0005-0000-0000-0000D6160000}"/>
    <cellStyle name="Normal 4 8 5 2" xfId="4353" xr:uid="{00000000-0005-0000-0000-0000D7160000}"/>
    <cellStyle name="Normal 4 8 5 2 2" xfId="8575" xr:uid="{00000000-0005-0000-0000-0000D8160000}"/>
    <cellStyle name="Normal 4 8 5 2 2 2" xfId="17025" xr:uid="{83546CDD-D96B-4EC0-8AE8-984667F17FE7}"/>
    <cellStyle name="Normal 4 8 5 2 3" xfId="12807" xr:uid="{F34E288C-8364-486D-A513-3F113D5FBE15}"/>
    <cellStyle name="Normal 4 8 5 3" xfId="6430" xr:uid="{00000000-0005-0000-0000-0000D9160000}"/>
    <cellStyle name="Normal 4 8 5 3 2" xfId="14880" xr:uid="{CC19F0F4-7F92-448F-A5F2-837290C62657}"/>
    <cellStyle name="Normal 4 8 5 4" xfId="10662" xr:uid="{91B7919D-B98C-4653-9404-0E28BE140252}"/>
    <cellStyle name="Normal 4 8 6" xfId="2560" xr:uid="{00000000-0005-0000-0000-0000DA160000}"/>
    <cellStyle name="Normal 4 8 6 2" xfId="6843" xr:uid="{00000000-0005-0000-0000-0000DB160000}"/>
    <cellStyle name="Normal 4 8 6 2 2" xfId="15293" xr:uid="{70E21287-69DD-4DD3-9C7E-2C30207DFCB7}"/>
    <cellStyle name="Normal 4 8 6 3" xfId="11075" xr:uid="{841EE479-501D-4BB5-8D79-8C225CC01D28}"/>
    <cellStyle name="Normal 4 8 7" xfId="4778" xr:uid="{00000000-0005-0000-0000-0000DC160000}"/>
    <cellStyle name="Normal 4 8 7 2" xfId="13228" xr:uid="{50D08802-6FCD-45E9-9D62-B1928E8F09A9}"/>
    <cellStyle name="Normal 4 8 8" xfId="9010" xr:uid="{EB0602D4-C9D7-4BBC-8812-062CD7DA7170}"/>
    <cellStyle name="Normal 4 9" xfId="4715" xr:uid="{00000000-0005-0000-0000-0000DD160000}"/>
    <cellStyle name="Normal 4 9 2" xfId="13165" xr:uid="{48949919-6427-4E53-A7AE-8B29F5603721}"/>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9043B476-28C8-459C-9ABB-03EA5BC14048}"/>
    <cellStyle name="Normal 5 10 2 3" xfId="12395" xr:uid="{B7912809-B290-42A9-BB85-2FE3913590D9}"/>
    <cellStyle name="Normal 5 10 3" xfId="6018" xr:uid="{00000000-0005-0000-0000-0000E2160000}"/>
    <cellStyle name="Normal 5 10 3 2" xfId="14468" xr:uid="{E6BC3E77-374D-4066-BFA3-77C33E61F4DD}"/>
    <cellStyle name="Normal 5 10 4" xfId="10250" xr:uid="{9AF5CF10-ECCD-4DE8-BAD7-DADC6F50FFA9}"/>
    <cellStyle name="Normal 5 11" xfId="2125" xr:uid="{00000000-0005-0000-0000-0000E3160000}"/>
    <cellStyle name="Normal 5 11 2" xfId="4354" xr:uid="{00000000-0005-0000-0000-0000E4160000}"/>
    <cellStyle name="Normal 5 11 2 2" xfId="8576" xr:uid="{00000000-0005-0000-0000-0000E5160000}"/>
    <cellStyle name="Normal 5 11 2 2 2" xfId="17026" xr:uid="{6F08B763-F4A3-4029-A4DA-63942127F29B}"/>
    <cellStyle name="Normal 5 11 2 3" xfId="12808" xr:uid="{A86A3DEA-272F-41C8-B716-9DEF8DBC7067}"/>
    <cellStyle name="Normal 5 11 3" xfId="6431" xr:uid="{00000000-0005-0000-0000-0000E6160000}"/>
    <cellStyle name="Normal 5 11 3 2" xfId="14881" xr:uid="{9969DD62-A4D7-4279-835B-518A6FC3AE71}"/>
    <cellStyle name="Normal 5 11 4" xfId="10663" xr:uid="{D9F6C7FD-CD2D-4D37-A7E2-3E18B9149DD1}"/>
    <cellStyle name="Normal 5 12" xfId="2561" xr:uid="{00000000-0005-0000-0000-0000E7160000}"/>
    <cellStyle name="Normal 5 12 2" xfId="6844" xr:uid="{00000000-0005-0000-0000-0000E8160000}"/>
    <cellStyle name="Normal 5 12 2 2" xfId="15294" xr:uid="{3AE2C988-59C7-4821-8213-A26182BD0AB1}"/>
    <cellStyle name="Normal 5 12 3" xfId="11076" xr:uid="{66E52A6D-0B37-40DE-B8C5-893A266FF24F}"/>
    <cellStyle name="Normal 5 13" xfId="4779" xr:uid="{00000000-0005-0000-0000-0000E9160000}"/>
    <cellStyle name="Normal 5 13 2" xfId="13229" xr:uid="{290DA79A-B7A5-4629-886A-612BCBAF4942}"/>
    <cellStyle name="Normal 5 14" xfId="9011" xr:uid="{E3F5B27B-96A1-449B-AA87-1466293AF1A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61BE8CE-1FAE-4977-98AA-5B5B7E8D1769}"/>
    <cellStyle name="Normal 5 2 10 2 3" xfId="12809" xr:uid="{519D878A-3FFA-4B85-80DB-AB8317C22C6A}"/>
    <cellStyle name="Normal 5 2 10 3" xfId="6432" xr:uid="{00000000-0005-0000-0000-0000EE160000}"/>
    <cellStyle name="Normal 5 2 10 3 2" xfId="14882" xr:uid="{E497C548-A509-4EE3-82E9-BEE0FCA9685E}"/>
    <cellStyle name="Normal 5 2 10 4" xfId="10664" xr:uid="{3447804C-53F7-4C4D-AD7C-D2F540A7BD6B}"/>
    <cellStyle name="Normal 5 2 11" xfId="2562" xr:uid="{00000000-0005-0000-0000-0000EF160000}"/>
    <cellStyle name="Normal 5 2 11 2" xfId="6845" xr:uid="{00000000-0005-0000-0000-0000F0160000}"/>
    <cellStyle name="Normal 5 2 11 2 2" xfId="15295" xr:uid="{4B8E5998-DFAC-47A7-B8E0-2D5F5D7A921B}"/>
    <cellStyle name="Normal 5 2 11 3" xfId="11077" xr:uid="{E37DB221-DB84-43A3-B281-44AEBDBF3273}"/>
    <cellStyle name="Normal 5 2 12" xfId="4780" xr:uid="{00000000-0005-0000-0000-0000F1160000}"/>
    <cellStyle name="Normal 5 2 12 2" xfId="13230" xr:uid="{5E6DA3F4-5727-420C-9E04-47052556947E}"/>
    <cellStyle name="Normal 5 2 13" xfId="9012" xr:uid="{605DA313-332F-46EE-AD61-AE945EA2CA6D}"/>
    <cellStyle name="Normal 5 2 2" xfId="408" xr:uid="{00000000-0005-0000-0000-0000F2160000}"/>
    <cellStyle name="Normal 5 2 2 10" xfId="2563" xr:uid="{00000000-0005-0000-0000-0000F3160000}"/>
    <cellStyle name="Normal 5 2 2 10 2" xfId="6846" xr:uid="{00000000-0005-0000-0000-0000F4160000}"/>
    <cellStyle name="Normal 5 2 2 10 2 2" xfId="15296" xr:uid="{57C06C68-F2F4-4583-8F90-DFA9592FD2D4}"/>
    <cellStyle name="Normal 5 2 2 10 3" xfId="11078" xr:uid="{D5CC81B5-9C75-4A77-9CC9-FBB778536A1D}"/>
    <cellStyle name="Normal 5 2 2 11" xfId="4781" xr:uid="{00000000-0005-0000-0000-0000F5160000}"/>
    <cellStyle name="Normal 5 2 2 11 2" xfId="13231" xr:uid="{15DC5D40-C412-491C-81DE-B0DD41AC630F}"/>
    <cellStyle name="Normal 5 2 2 12" xfId="9013" xr:uid="{CDD78F39-D278-43CF-A094-22B996945A16}"/>
    <cellStyle name="Normal 5 2 2 2" xfId="409" xr:uid="{00000000-0005-0000-0000-0000F6160000}"/>
    <cellStyle name="Normal 5 2 2 2 10" xfId="4782" xr:uid="{00000000-0005-0000-0000-0000F7160000}"/>
    <cellStyle name="Normal 5 2 2 2 10 2" xfId="13232" xr:uid="{454F73D7-6423-42AF-9E53-18873D2B24FA}"/>
    <cellStyle name="Normal 5 2 2 2 11" xfId="9014" xr:uid="{A37964F1-2BCB-4E4E-818E-98F17FDFA331}"/>
    <cellStyle name="Normal 5 2 2 2 2" xfId="410" xr:uid="{00000000-0005-0000-0000-0000F8160000}"/>
    <cellStyle name="Normal 5 2 2 2 2 10" xfId="9015" xr:uid="{2A2E6914-644C-4487-AEAB-F1EF2D657D3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8D7F437E-9DEC-480B-8C05-1987052A5C18}"/>
    <cellStyle name="Normal 5 2 2 2 2 2 2 2 2 3" xfId="11575" xr:uid="{CE969A85-CC82-4ECB-AC5F-15EEAB88D239}"/>
    <cellStyle name="Normal 5 2 2 2 2 2 2 2 3" xfId="5198" xr:uid="{00000000-0005-0000-0000-0000FE160000}"/>
    <cellStyle name="Normal 5 2 2 2 2 2 2 2 3 2" xfId="13648" xr:uid="{E111C285-EAD1-4762-8E0E-F9F7D2BA7C47}"/>
    <cellStyle name="Normal 5 2 2 2 2 2 2 2 4" xfId="9430" xr:uid="{18BA19FC-9E2C-4B77-9037-3CBA30313002}"/>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B68EA443-DE2D-4109-AA5C-BF97AA09712C}"/>
    <cellStyle name="Normal 5 2 2 2 2 2 2 3 2 3" xfId="11988" xr:uid="{E2EA0CC3-8EE7-448C-AB66-5ECD8A376300}"/>
    <cellStyle name="Normal 5 2 2 2 2 2 2 3 3" xfId="5611" xr:uid="{00000000-0005-0000-0000-000002170000}"/>
    <cellStyle name="Normal 5 2 2 2 2 2 2 3 3 2" xfId="14061" xr:uid="{3F2A2EA7-B854-4637-BFCC-0F2A9B4C3A1B}"/>
    <cellStyle name="Normal 5 2 2 2 2 2 2 3 4" xfId="9843" xr:uid="{D4EE6D99-D73A-45C8-8A72-27278A992D3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B2A826ED-480D-45D0-8439-81D43F4B2D9A}"/>
    <cellStyle name="Normal 5 2 2 2 2 2 2 4 2 3" xfId="12401" xr:uid="{FBB90668-79D2-4B97-9A6A-F39DE6E48ABC}"/>
    <cellStyle name="Normal 5 2 2 2 2 2 2 4 3" xfId="6024" xr:uid="{00000000-0005-0000-0000-000006170000}"/>
    <cellStyle name="Normal 5 2 2 2 2 2 2 4 3 2" xfId="14474" xr:uid="{7387D059-E9E0-4B6E-9917-F9DD969F43F4}"/>
    <cellStyle name="Normal 5 2 2 2 2 2 2 4 4" xfId="10256" xr:uid="{4E66C5A9-EEDA-4593-9300-80F26D6F94F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F6FD36DE-2B8D-4616-B10D-FEEFBB24D387}"/>
    <cellStyle name="Normal 5 2 2 2 2 2 2 5 2 3" xfId="12814" xr:uid="{1DC1F233-7993-4CFD-9881-D41E9ABE6DB9}"/>
    <cellStyle name="Normal 5 2 2 2 2 2 2 5 3" xfId="6437" xr:uid="{00000000-0005-0000-0000-00000A170000}"/>
    <cellStyle name="Normal 5 2 2 2 2 2 2 5 3 2" xfId="14887" xr:uid="{861E89B5-BCE2-47BE-AE79-D353B8A5AC50}"/>
    <cellStyle name="Normal 5 2 2 2 2 2 2 5 4" xfId="10669" xr:uid="{4D8E1D81-089E-4DEC-8897-F5AFF6C02A9D}"/>
    <cellStyle name="Normal 5 2 2 2 2 2 2 6" xfId="2567" xr:uid="{00000000-0005-0000-0000-00000B170000}"/>
    <cellStyle name="Normal 5 2 2 2 2 2 2 6 2" xfId="6850" xr:uid="{00000000-0005-0000-0000-00000C170000}"/>
    <cellStyle name="Normal 5 2 2 2 2 2 2 6 2 2" xfId="15300" xr:uid="{3A197571-B393-4783-B121-7F5CC9B0F54F}"/>
    <cellStyle name="Normal 5 2 2 2 2 2 2 6 3" xfId="11082" xr:uid="{321B81D9-CC3C-4184-8E8A-63D34A76E02F}"/>
    <cellStyle name="Normal 5 2 2 2 2 2 2 7" xfId="4785" xr:uid="{00000000-0005-0000-0000-00000D170000}"/>
    <cellStyle name="Normal 5 2 2 2 2 2 2 7 2" xfId="13235" xr:uid="{AD498B7A-B4C1-4C55-9F38-B8614AECB979}"/>
    <cellStyle name="Normal 5 2 2 2 2 2 2 8" xfId="9017" xr:uid="{B202D766-7EDD-4B22-BC07-B574D84FD03A}"/>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FEA8CCAF-DA39-4047-818B-AE6D8A365F28}"/>
    <cellStyle name="Normal 5 2 2 2 2 2 3 2 3" xfId="11574" xr:uid="{D0C1F24B-1404-46E0-84B7-9AAC58A04BB6}"/>
    <cellStyle name="Normal 5 2 2 2 2 2 3 3" xfId="5197" xr:uid="{00000000-0005-0000-0000-000011170000}"/>
    <cellStyle name="Normal 5 2 2 2 2 2 3 3 2" xfId="13647" xr:uid="{04C7CB0A-7F16-4097-8403-F16BF55365DB}"/>
    <cellStyle name="Normal 5 2 2 2 2 2 3 4" xfId="9429" xr:uid="{60441C40-7F6E-4A27-8D50-5A2FBB78A5BA}"/>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78B11FF5-5D9A-4FFE-9D72-0320C2EF2215}"/>
    <cellStyle name="Normal 5 2 2 2 2 2 4 2 3" xfId="11987" xr:uid="{E869D13B-D3C1-4FF0-B6DC-6C3015B3529E}"/>
    <cellStyle name="Normal 5 2 2 2 2 2 4 3" xfId="5610" xr:uid="{00000000-0005-0000-0000-000015170000}"/>
    <cellStyle name="Normal 5 2 2 2 2 2 4 3 2" xfId="14060" xr:uid="{28A172C7-3D4B-4E86-A89D-B63F98AEB221}"/>
    <cellStyle name="Normal 5 2 2 2 2 2 4 4" xfId="9842" xr:uid="{C43E4D30-1D61-4541-BF89-F1346A6D446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6A340EE7-4617-489A-9C9B-366508C5C78A}"/>
    <cellStyle name="Normal 5 2 2 2 2 2 5 2 3" xfId="12400" xr:uid="{09644450-F785-4D78-A5BF-BE3050AEF741}"/>
    <cellStyle name="Normal 5 2 2 2 2 2 5 3" xfId="6023" xr:uid="{00000000-0005-0000-0000-000019170000}"/>
    <cellStyle name="Normal 5 2 2 2 2 2 5 3 2" xfId="14473" xr:uid="{70FC970A-E9AF-4A64-9B92-38DE8368B63B}"/>
    <cellStyle name="Normal 5 2 2 2 2 2 5 4" xfId="10255" xr:uid="{73C142FD-E58B-4666-95E7-1B341A94FD6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09D9D904-6C30-4585-801C-1DC991CB7898}"/>
    <cellStyle name="Normal 5 2 2 2 2 2 6 2 3" xfId="12813" xr:uid="{16CB1CE9-BE42-4E88-9492-9AB3DF9BCAB0}"/>
    <cellStyle name="Normal 5 2 2 2 2 2 6 3" xfId="6436" xr:uid="{00000000-0005-0000-0000-00001D170000}"/>
    <cellStyle name="Normal 5 2 2 2 2 2 6 3 2" xfId="14886" xr:uid="{D149ADF9-85C8-44AF-92D7-D4882BFB2A11}"/>
    <cellStyle name="Normal 5 2 2 2 2 2 6 4" xfId="10668" xr:uid="{F0FE2154-D796-45CF-9389-475BC3E131A4}"/>
    <cellStyle name="Normal 5 2 2 2 2 2 7" xfId="2566" xr:uid="{00000000-0005-0000-0000-00001E170000}"/>
    <cellStyle name="Normal 5 2 2 2 2 2 7 2" xfId="6849" xr:uid="{00000000-0005-0000-0000-00001F170000}"/>
    <cellStyle name="Normal 5 2 2 2 2 2 7 2 2" xfId="15299" xr:uid="{5538CE82-4250-40C9-BE72-B5479DD8BC2A}"/>
    <cellStyle name="Normal 5 2 2 2 2 2 7 3" xfId="11081" xr:uid="{DAEA1D98-2478-4811-AB17-B46B0AC79CA3}"/>
    <cellStyle name="Normal 5 2 2 2 2 2 8" xfId="4784" xr:uid="{00000000-0005-0000-0000-000020170000}"/>
    <cellStyle name="Normal 5 2 2 2 2 2 8 2" xfId="13234" xr:uid="{EEA1A1DD-3F34-4C6C-BFBE-506D454A13B3}"/>
    <cellStyle name="Normal 5 2 2 2 2 2 9" xfId="9016" xr:uid="{E213E5E9-679F-49B5-AD3C-61440DD570F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5AA33881-7EFD-4AB4-902F-1301DB38A709}"/>
    <cellStyle name="Normal 5 2 2 2 2 3 2 2 3" xfId="11576" xr:uid="{6B0FB320-6409-4F08-916B-07B177979E2C}"/>
    <cellStyle name="Normal 5 2 2 2 2 3 2 3" xfId="5199" xr:uid="{00000000-0005-0000-0000-000025170000}"/>
    <cellStyle name="Normal 5 2 2 2 2 3 2 3 2" xfId="13649" xr:uid="{84269303-5E50-47F0-98E0-B4300A0F9A5D}"/>
    <cellStyle name="Normal 5 2 2 2 2 3 2 4" xfId="9431" xr:uid="{AA984A75-7FEB-4327-9887-4BE2636F97F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5EC92489-31E9-4827-8C92-327754AA64EF}"/>
    <cellStyle name="Normal 5 2 2 2 2 3 3 2 3" xfId="11989" xr:uid="{E6F23001-5153-4103-94BB-B1F8DDCB847D}"/>
    <cellStyle name="Normal 5 2 2 2 2 3 3 3" xfId="5612" xr:uid="{00000000-0005-0000-0000-000029170000}"/>
    <cellStyle name="Normal 5 2 2 2 2 3 3 3 2" xfId="14062" xr:uid="{537839C6-8FDE-436C-8E38-6A8D1D33857D}"/>
    <cellStyle name="Normal 5 2 2 2 2 3 3 4" xfId="9844" xr:uid="{08291248-A9AF-49F2-900B-E006208B3E65}"/>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98440248-58E8-42E5-87E8-CF5084BBF42A}"/>
    <cellStyle name="Normal 5 2 2 2 2 3 4 2 3" xfId="12402" xr:uid="{95D47288-3AF1-4C7B-BACB-2D41F3791DCC}"/>
    <cellStyle name="Normal 5 2 2 2 2 3 4 3" xfId="6025" xr:uid="{00000000-0005-0000-0000-00002D170000}"/>
    <cellStyle name="Normal 5 2 2 2 2 3 4 3 2" xfId="14475" xr:uid="{069BC0AC-A3D3-4A96-A510-0055C4E6BC11}"/>
    <cellStyle name="Normal 5 2 2 2 2 3 4 4" xfId="10257" xr:uid="{ED8308FE-30F4-4745-AC55-4E5B364A955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5D69FFE0-9161-4DA7-AE66-609A1ABACAC6}"/>
    <cellStyle name="Normal 5 2 2 2 2 3 5 2 3" xfId="12815" xr:uid="{3C65655E-779A-4B3B-B7F2-9F6C9ED5F235}"/>
    <cellStyle name="Normal 5 2 2 2 2 3 5 3" xfId="6438" xr:uid="{00000000-0005-0000-0000-000031170000}"/>
    <cellStyle name="Normal 5 2 2 2 2 3 5 3 2" xfId="14888" xr:uid="{B3547A0B-DDAD-4798-9FDF-38EE2F3790AA}"/>
    <cellStyle name="Normal 5 2 2 2 2 3 5 4" xfId="10670" xr:uid="{53846E97-3BF9-4CF3-A92C-9CCDD5982CBF}"/>
    <cellStyle name="Normal 5 2 2 2 2 3 6" xfId="2568" xr:uid="{00000000-0005-0000-0000-000032170000}"/>
    <cellStyle name="Normal 5 2 2 2 2 3 6 2" xfId="6851" xr:uid="{00000000-0005-0000-0000-000033170000}"/>
    <cellStyle name="Normal 5 2 2 2 2 3 6 2 2" xfId="15301" xr:uid="{FBA9F4DE-2114-4A00-A8FB-95145DEC09DA}"/>
    <cellStyle name="Normal 5 2 2 2 2 3 6 3" xfId="11083" xr:uid="{DAEEAABF-FD5E-4808-A0B4-4A1BD05437F4}"/>
    <cellStyle name="Normal 5 2 2 2 2 3 7" xfId="4786" xr:uid="{00000000-0005-0000-0000-000034170000}"/>
    <cellStyle name="Normal 5 2 2 2 2 3 7 2" xfId="13236" xr:uid="{FD73AEE9-2230-47B3-B8EC-C1CC7B87BC1B}"/>
    <cellStyle name="Normal 5 2 2 2 2 3 8" xfId="9018" xr:uid="{81EF31E3-F71C-497C-8896-4B983064B18A}"/>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BB756075-79D1-4AD8-AA4F-BDBD5C82E1BB}"/>
    <cellStyle name="Normal 5 2 2 2 2 4 2 3" xfId="11573" xr:uid="{FD77D548-8365-48DA-8391-050414686220}"/>
    <cellStyle name="Normal 5 2 2 2 2 4 3" xfId="5196" xr:uid="{00000000-0005-0000-0000-000038170000}"/>
    <cellStyle name="Normal 5 2 2 2 2 4 3 2" xfId="13646" xr:uid="{D805FFAF-1325-42DC-B90C-2D332D57ABB0}"/>
    <cellStyle name="Normal 5 2 2 2 2 4 4" xfId="9428" xr:uid="{BE80BD4D-A01A-4F23-97A3-CD9016AB2A24}"/>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26878E8C-6495-4DEB-A66A-E8FA6A0ABA95}"/>
    <cellStyle name="Normal 5 2 2 2 2 5 2 3" xfId="11986" xr:uid="{A60251A8-1B00-480B-A95F-57155F668C4F}"/>
    <cellStyle name="Normal 5 2 2 2 2 5 3" xfId="5609" xr:uid="{00000000-0005-0000-0000-00003C170000}"/>
    <cellStyle name="Normal 5 2 2 2 2 5 3 2" xfId="14059" xr:uid="{347D4D3C-6897-4533-88CA-0707EDD1C771}"/>
    <cellStyle name="Normal 5 2 2 2 2 5 4" xfId="9841" xr:uid="{CA074851-F4BB-4A27-9F42-547F45ADD2C6}"/>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63B7D63A-5D2D-4543-AEFE-E261BC7F6515}"/>
    <cellStyle name="Normal 5 2 2 2 2 6 2 3" xfId="12399" xr:uid="{068D9659-702B-4D2F-B7D8-F2FCF88754ED}"/>
    <cellStyle name="Normal 5 2 2 2 2 6 3" xfId="6022" xr:uid="{00000000-0005-0000-0000-000040170000}"/>
    <cellStyle name="Normal 5 2 2 2 2 6 3 2" xfId="14472" xr:uid="{92CA96CC-61DB-41B1-BF54-4DD0479A91FC}"/>
    <cellStyle name="Normal 5 2 2 2 2 6 4" xfId="10254" xr:uid="{E37E1131-6419-4371-AA14-63455F20939A}"/>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277C923E-A069-40C4-838C-FDA4F3831E7A}"/>
    <cellStyle name="Normal 5 2 2 2 2 7 2 3" xfId="12812" xr:uid="{9F245928-9150-4B52-88CF-00FC10DEA1C1}"/>
    <cellStyle name="Normal 5 2 2 2 2 7 3" xfId="6435" xr:uid="{00000000-0005-0000-0000-000044170000}"/>
    <cellStyle name="Normal 5 2 2 2 2 7 3 2" xfId="14885" xr:uid="{F65F1146-9B99-4B79-8B39-8374771E9282}"/>
    <cellStyle name="Normal 5 2 2 2 2 7 4" xfId="10667" xr:uid="{F342997E-3528-4EF8-B289-7B6387586633}"/>
    <cellStyle name="Normal 5 2 2 2 2 8" xfId="2565" xr:uid="{00000000-0005-0000-0000-000045170000}"/>
    <cellStyle name="Normal 5 2 2 2 2 8 2" xfId="6848" xr:uid="{00000000-0005-0000-0000-000046170000}"/>
    <cellStyle name="Normal 5 2 2 2 2 8 2 2" xfId="15298" xr:uid="{784A7514-1964-48A2-A323-B9D0E8020FE1}"/>
    <cellStyle name="Normal 5 2 2 2 2 8 3" xfId="11080" xr:uid="{C12C8F92-ABD3-4455-9AC1-71E47D2FE599}"/>
    <cellStyle name="Normal 5 2 2 2 2 9" xfId="4783" xr:uid="{00000000-0005-0000-0000-000047170000}"/>
    <cellStyle name="Normal 5 2 2 2 2 9 2" xfId="13233" xr:uid="{04E4621C-FA7A-4F75-945A-241DF5A8D30B}"/>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1E102E09-FC60-4FD5-9BE8-BCE39E57A13E}"/>
    <cellStyle name="Normal 5 2 2 2 3 2 2 2 3" xfId="11578" xr:uid="{D54B9AEE-FCCA-41D4-AF77-91EFF8FD8D29}"/>
    <cellStyle name="Normal 5 2 2 2 3 2 2 3" xfId="5201" xr:uid="{00000000-0005-0000-0000-00004D170000}"/>
    <cellStyle name="Normal 5 2 2 2 3 2 2 3 2" xfId="13651" xr:uid="{4621D846-3182-44BC-9BBA-092383E87498}"/>
    <cellStyle name="Normal 5 2 2 2 3 2 2 4" xfId="9433" xr:uid="{E51F3D47-583F-4BC0-A9C3-52989EE2D00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B3A39584-9B2E-415D-9B58-9D565A6E6E33}"/>
    <cellStyle name="Normal 5 2 2 2 3 2 3 2 3" xfId="11991" xr:uid="{340BFFEC-35B5-4FAF-832B-5BE3FF57F575}"/>
    <cellStyle name="Normal 5 2 2 2 3 2 3 3" xfId="5614" xr:uid="{00000000-0005-0000-0000-000051170000}"/>
    <cellStyle name="Normal 5 2 2 2 3 2 3 3 2" xfId="14064" xr:uid="{52276F79-8066-4647-8462-85F9A8881358}"/>
    <cellStyle name="Normal 5 2 2 2 3 2 3 4" xfId="9846" xr:uid="{593422D4-54FF-44E6-A60A-E8E66326543A}"/>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268AF3B1-41C3-47D7-A920-7455707A8CC3}"/>
    <cellStyle name="Normal 5 2 2 2 3 2 4 2 3" xfId="12404" xr:uid="{B3AB976E-5102-4531-8796-BBBB7ADEDD5F}"/>
    <cellStyle name="Normal 5 2 2 2 3 2 4 3" xfId="6027" xr:uid="{00000000-0005-0000-0000-000055170000}"/>
    <cellStyle name="Normal 5 2 2 2 3 2 4 3 2" xfId="14477" xr:uid="{33B204E3-3D37-4893-8101-D9E7D85B5A6E}"/>
    <cellStyle name="Normal 5 2 2 2 3 2 4 4" xfId="10259" xr:uid="{89371CDA-5D2E-4F11-B2A4-D222B8911563}"/>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D5B8A308-F984-4A7A-9256-BCE4F51BA137}"/>
    <cellStyle name="Normal 5 2 2 2 3 2 5 2 3" xfId="12817" xr:uid="{A8BA5FA9-7B2E-4666-AA8A-AB0FCC937CC4}"/>
    <cellStyle name="Normal 5 2 2 2 3 2 5 3" xfId="6440" xr:uid="{00000000-0005-0000-0000-000059170000}"/>
    <cellStyle name="Normal 5 2 2 2 3 2 5 3 2" xfId="14890" xr:uid="{D08D279E-BCDC-4F03-82C8-2F7F85660A47}"/>
    <cellStyle name="Normal 5 2 2 2 3 2 5 4" xfId="10672" xr:uid="{E5650DDA-9281-4DB3-AA30-53B9B135AB7E}"/>
    <cellStyle name="Normal 5 2 2 2 3 2 6" xfId="2570" xr:uid="{00000000-0005-0000-0000-00005A170000}"/>
    <cellStyle name="Normal 5 2 2 2 3 2 6 2" xfId="6853" xr:uid="{00000000-0005-0000-0000-00005B170000}"/>
    <cellStyle name="Normal 5 2 2 2 3 2 6 2 2" xfId="15303" xr:uid="{AE16395B-27AE-4EBF-ADF0-757D3AC3B2E3}"/>
    <cellStyle name="Normal 5 2 2 2 3 2 6 3" xfId="11085" xr:uid="{D58AF5BA-FBDD-469C-A02A-0931EC0E0D73}"/>
    <cellStyle name="Normal 5 2 2 2 3 2 7" xfId="4788" xr:uid="{00000000-0005-0000-0000-00005C170000}"/>
    <cellStyle name="Normal 5 2 2 2 3 2 7 2" xfId="13238" xr:uid="{E1FB3C2E-3A3C-493F-9B80-F443B7F528E2}"/>
    <cellStyle name="Normal 5 2 2 2 3 2 8" xfId="9020" xr:uid="{78565FE1-606E-464A-983A-DE907A4590E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2CC9C551-42C8-4CA4-9AB4-481854F9AE9D}"/>
    <cellStyle name="Normal 5 2 2 2 3 3 2 3" xfId="11577" xr:uid="{8B93DCAB-0319-4019-AD84-169AC594616F}"/>
    <cellStyle name="Normal 5 2 2 2 3 3 3" xfId="5200" xr:uid="{00000000-0005-0000-0000-000060170000}"/>
    <cellStyle name="Normal 5 2 2 2 3 3 3 2" xfId="13650" xr:uid="{2C0049B7-330E-4D5E-9C3E-DCB15C8A20D0}"/>
    <cellStyle name="Normal 5 2 2 2 3 3 4" xfId="9432" xr:uid="{AC85483D-EFA4-4123-AF5B-98C98F243675}"/>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2F17BCC8-B9E5-4D95-9001-AEFFF2881E28}"/>
    <cellStyle name="Normal 5 2 2 2 3 4 2 3" xfId="11990" xr:uid="{3C0C0885-80E2-45FC-9EB8-1C1D9DB9AAD6}"/>
    <cellStyle name="Normal 5 2 2 2 3 4 3" xfId="5613" xr:uid="{00000000-0005-0000-0000-000064170000}"/>
    <cellStyle name="Normal 5 2 2 2 3 4 3 2" xfId="14063" xr:uid="{DEE8DEE2-D2BC-49BB-9124-F0580D3AAC0B}"/>
    <cellStyle name="Normal 5 2 2 2 3 4 4" xfId="9845" xr:uid="{4A7F18F4-C3B3-4791-97F6-844387D32549}"/>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F91D58F4-623F-401C-AC85-BDD733CD03C8}"/>
    <cellStyle name="Normal 5 2 2 2 3 5 2 3" xfId="12403" xr:uid="{F8B4FFF3-258E-4100-8FEB-24315AE3B6E6}"/>
    <cellStyle name="Normal 5 2 2 2 3 5 3" xfId="6026" xr:uid="{00000000-0005-0000-0000-000068170000}"/>
    <cellStyle name="Normal 5 2 2 2 3 5 3 2" xfId="14476" xr:uid="{3619477C-8B6E-4A1C-B84F-897D3F814816}"/>
    <cellStyle name="Normal 5 2 2 2 3 5 4" xfId="10258" xr:uid="{0245F44E-C36E-4B1B-A11F-6E5E7BAD96B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2AF349BD-3269-4519-A225-832D9F6B5698}"/>
    <cellStyle name="Normal 5 2 2 2 3 6 2 3" xfId="12816" xr:uid="{3813BD38-4632-4C45-A625-6D1AD476BA26}"/>
    <cellStyle name="Normal 5 2 2 2 3 6 3" xfId="6439" xr:uid="{00000000-0005-0000-0000-00006C170000}"/>
    <cellStyle name="Normal 5 2 2 2 3 6 3 2" xfId="14889" xr:uid="{010D10AF-75CC-4784-B845-CF90FB5A1681}"/>
    <cellStyle name="Normal 5 2 2 2 3 6 4" xfId="10671" xr:uid="{4B74C839-D85D-46EF-A8F4-5C13D7EA32FA}"/>
    <cellStyle name="Normal 5 2 2 2 3 7" xfId="2569" xr:uid="{00000000-0005-0000-0000-00006D170000}"/>
    <cellStyle name="Normal 5 2 2 2 3 7 2" xfId="6852" xr:uid="{00000000-0005-0000-0000-00006E170000}"/>
    <cellStyle name="Normal 5 2 2 2 3 7 2 2" xfId="15302" xr:uid="{69989ABD-BB18-4EDC-8A02-C1EE607DD60C}"/>
    <cellStyle name="Normal 5 2 2 2 3 7 3" xfId="11084" xr:uid="{4207883B-971D-4077-819B-D3EAFBD66234}"/>
    <cellStyle name="Normal 5 2 2 2 3 8" xfId="4787" xr:uid="{00000000-0005-0000-0000-00006F170000}"/>
    <cellStyle name="Normal 5 2 2 2 3 8 2" xfId="13237" xr:uid="{78422344-7CC4-4C64-85DE-85BE21A84EE0}"/>
    <cellStyle name="Normal 5 2 2 2 3 9" xfId="9019" xr:uid="{F4733189-053D-4626-AF03-97A160D4C0B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42E92BEB-F815-4D38-BEF7-DAEB4AC7D6FA}"/>
    <cellStyle name="Normal 5 2 2 2 4 2 2 3" xfId="11579" xr:uid="{F3D3AD9E-3575-457F-B4D6-E3534B11F61F}"/>
    <cellStyle name="Normal 5 2 2 2 4 2 3" xfId="5202" xr:uid="{00000000-0005-0000-0000-000074170000}"/>
    <cellStyle name="Normal 5 2 2 2 4 2 3 2" xfId="13652" xr:uid="{80CB9E4B-B98E-46BD-9193-B50BA1F98188}"/>
    <cellStyle name="Normal 5 2 2 2 4 2 4" xfId="9434" xr:uid="{FDFE2EC9-F284-4FB2-8E1A-98A9A70C199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8C7E05B8-D5ED-4C2F-961F-0FF7DE88F851}"/>
    <cellStyle name="Normal 5 2 2 2 4 3 2 3" xfId="11992" xr:uid="{A52CF217-2463-4506-878D-0FE4AD424AC2}"/>
    <cellStyle name="Normal 5 2 2 2 4 3 3" xfId="5615" xr:uid="{00000000-0005-0000-0000-000078170000}"/>
    <cellStyle name="Normal 5 2 2 2 4 3 3 2" xfId="14065" xr:uid="{F8EAC052-B53D-46EC-A370-D70DCE4FFC00}"/>
    <cellStyle name="Normal 5 2 2 2 4 3 4" xfId="9847" xr:uid="{CA22D117-DC72-4D21-8CB0-0E700D21B25A}"/>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01F73928-C369-4947-BE7D-90A052CAA64F}"/>
    <cellStyle name="Normal 5 2 2 2 4 4 2 3" xfId="12405" xr:uid="{B0116B76-31F4-4058-A888-8152D66B4471}"/>
    <cellStyle name="Normal 5 2 2 2 4 4 3" xfId="6028" xr:uid="{00000000-0005-0000-0000-00007C170000}"/>
    <cellStyle name="Normal 5 2 2 2 4 4 3 2" xfId="14478" xr:uid="{577ED920-14EC-4CC0-B963-B9FDC09199E5}"/>
    <cellStyle name="Normal 5 2 2 2 4 4 4" xfId="10260" xr:uid="{ED857041-5901-4E39-8D5A-62D27B1843C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AAD21B59-0FC7-490B-8BD4-9623D74136A4}"/>
    <cellStyle name="Normal 5 2 2 2 4 5 2 3" xfId="12818" xr:uid="{F651F2AC-626C-4046-8E75-00FA981D3ED2}"/>
    <cellStyle name="Normal 5 2 2 2 4 5 3" xfId="6441" xr:uid="{00000000-0005-0000-0000-000080170000}"/>
    <cellStyle name="Normal 5 2 2 2 4 5 3 2" xfId="14891" xr:uid="{4F8971F8-8A54-4C26-8622-EC079851476B}"/>
    <cellStyle name="Normal 5 2 2 2 4 5 4" xfId="10673" xr:uid="{62BD159D-8310-46F8-A9B8-95220CA6BD42}"/>
    <cellStyle name="Normal 5 2 2 2 4 6" xfId="2571" xr:uid="{00000000-0005-0000-0000-000081170000}"/>
    <cellStyle name="Normal 5 2 2 2 4 6 2" xfId="6854" xr:uid="{00000000-0005-0000-0000-000082170000}"/>
    <cellStyle name="Normal 5 2 2 2 4 6 2 2" xfId="15304" xr:uid="{2B887C8F-D4BC-4AD0-BD4B-93E30980C71B}"/>
    <cellStyle name="Normal 5 2 2 2 4 6 3" xfId="11086" xr:uid="{A2042993-6B96-4036-A7FC-A594A32FA753}"/>
    <cellStyle name="Normal 5 2 2 2 4 7" xfId="4789" xr:uid="{00000000-0005-0000-0000-000083170000}"/>
    <cellStyle name="Normal 5 2 2 2 4 7 2" xfId="13239" xr:uid="{C6593390-C69B-47CC-8D36-77E8542BCE73}"/>
    <cellStyle name="Normal 5 2 2 2 4 8" xfId="9021" xr:uid="{B6CDE4AF-4DF2-4BFD-91CB-57113B7051F4}"/>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4C34EDC3-4013-4BC0-ABF1-7761833B1CF5}"/>
    <cellStyle name="Normal 5 2 2 2 5 2 3" xfId="11572" xr:uid="{F8A61B33-095B-43DE-AED9-36BB333B0F85}"/>
    <cellStyle name="Normal 5 2 2 2 5 3" xfId="5195" xr:uid="{00000000-0005-0000-0000-000087170000}"/>
    <cellStyle name="Normal 5 2 2 2 5 3 2" xfId="13645" xr:uid="{9CC7FC12-7212-40DB-8F15-6198D8950BB7}"/>
    <cellStyle name="Normal 5 2 2 2 5 4" xfId="9427" xr:uid="{885DDE25-827D-4ED0-B9F6-74690B1D5ABD}"/>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592D84EC-9443-435C-B698-F88B6020EE88}"/>
    <cellStyle name="Normal 5 2 2 2 6 2 3" xfId="11985" xr:uid="{152F9FE7-5C5B-47CC-8EAD-31F9A3BB6632}"/>
    <cellStyle name="Normal 5 2 2 2 6 3" xfId="5608" xr:uid="{00000000-0005-0000-0000-00008B170000}"/>
    <cellStyle name="Normal 5 2 2 2 6 3 2" xfId="14058" xr:uid="{AD206817-B53C-4CC8-BCB0-9A43E9B184B3}"/>
    <cellStyle name="Normal 5 2 2 2 6 4" xfId="9840" xr:uid="{89FD6029-1053-4D4B-8321-5A7B073FE78E}"/>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FE947CD4-FD6E-4424-B61C-2F25E24D5AE9}"/>
    <cellStyle name="Normal 5 2 2 2 7 2 3" xfId="12398" xr:uid="{D3A0DC8F-32F5-400E-B14E-12299F7DE15F}"/>
    <cellStyle name="Normal 5 2 2 2 7 3" xfId="6021" xr:uid="{00000000-0005-0000-0000-00008F170000}"/>
    <cellStyle name="Normal 5 2 2 2 7 3 2" xfId="14471" xr:uid="{B424D7B4-7557-4224-BA34-560E7DE11452}"/>
    <cellStyle name="Normal 5 2 2 2 7 4" xfId="10253" xr:uid="{081F698B-9FE1-4B8A-980E-380E8DD4F31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90671BDA-E283-4082-AC23-C75772F8EEC2}"/>
    <cellStyle name="Normal 5 2 2 2 8 2 3" xfId="12811" xr:uid="{5728ED52-EEDE-41C3-8125-3031C2499CD6}"/>
    <cellStyle name="Normal 5 2 2 2 8 3" xfId="6434" xr:uid="{00000000-0005-0000-0000-000093170000}"/>
    <cellStyle name="Normal 5 2 2 2 8 3 2" xfId="14884" xr:uid="{BF4293AB-3D44-4AE5-B377-14DA0FAE9384}"/>
    <cellStyle name="Normal 5 2 2 2 8 4" xfId="10666" xr:uid="{625C6403-46C2-4C4F-85E7-9D6473FA98A5}"/>
    <cellStyle name="Normal 5 2 2 2 9" xfId="2564" xr:uid="{00000000-0005-0000-0000-000094170000}"/>
    <cellStyle name="Normal 5 2 2 2 9 2" xfId="6847" xr:uid="{00000000-0005-0000-0000-000095170000}"/>
    <cellStyle name="Normal 5 2 2 2 9 2 2" xfId="15297" xr:uid="{311465DC-2EE0-42B7-8D5D-FBAB2E15A531}"/>
    <cellStyle name="Normal 5 2 2 2 9 3" xfId="11079" xr:uid="{A59BF924-0D57-418E-ADD3-AA45209B4FAD}"/>
    <cellStyle name="Normal 5 2 2 3" xfId="417" xr:uid="{00000000-0005-0000-0000-000096170000}"/>
    <cellStyle name="Normal 5 2 2 3 10" xfId="9022" xr:uid="{C0912E72-3DA2-4FFB-902C-F246F3ECF5C1}"/>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CE00D3D6-4F8C-4631-8C2A-787006DB71E5}"/>
    <cellStyle name="Normal 5 2 2 3 2 2 2 2 3" xfId="11582" xr:uid="{190CAD14-3087-47BE-8E85-CCC6B8FFD8E9}"/>
    <cellStyle name="Normal 5 2 2 3 2 2 2 3" xfId="5205" xr:uid="{00000000-0005-0000-0000-00009C170000}"/>
    <cellStyle name="Normal 5 2 2 3 2 2 2 3 2" xfId="13655" xr:uid="{D70F6C64-2B4F-4464-82BF-5347E78262EC}"/>
    <cellStyle name="Normal 5 2 2 3 2 2 2 4" xfId="9437" xr:uid="{0E8F9D7F-EE08-4998-923E-F4423F2A923C}"/>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AC6C7941-F4DC-4DF9-9FE2-56E7F614B309}"/>
    <cellStyle name="Normal 5 2 2 3 2 2 3 2 3" xfId="11995" xr:uid="{DC485DF2-1FBC-4B40-8F93-4E4C2E28E49C}"/>
    <cellStyle name="Normal 5 2 2 3 2 2 3 3" xfId="5618" xr:uid="{00000000-0005-0000-0000-0000A0170000}"/>
    <cellStyle name="Normal 5 2 2 3 2 2 3 3 2" xfId="14068" xr:uid="{C0590A80-26E8-4085-BC42-6935DBB0927A}"/>
    <cellStyle name="Normal 5 2 2 3 2 2 3 4" xfId="9850" xr:uid="{A5590B28-987A-47B5-8BBD-580CF1CEA2B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279AC059-4773-4B8F-A554-A0010546AC99}"/>
    <cellStyle name="Normal 5 2 2 3 2 2 4 2 3" xfId="12408" xr:uid="{AA7C30F6-0AF6-4430-8787-D8BE55046B52}"/>
    <cellStyle name="Normal 5 2 2 3 2 2 4 3" xfId="6031" xr:uid="{00000000-0005-0000-0000-0000A4170000}"/>
    <cellStyle name="Normal 5 2 2 3 2 2 4 3 2" xfId="14481" xr:uid="{264FC548-E6BD-4CDA-86C2-148D4071B4EC}"/>
    <cellStyle name="Normal 5 2 2 3 2 2 4 4" xfId="10263" xr:uid="{829D3A59-7773-4BA5-A858-4374CF8ADFD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31BC2A12-48FB-4981-B4DE-EB00EE486A81}"/>
    <cellStyle name="Normal 5 2 2 3 2 2 5 2 3" xfId="12821" xr:uid="{B009DB51-E3DE-474B-8EAA-8362CAF4427F}"/>
    <cellStyle name="Normal 5 2 2 3 2 2 5 3" xfId="6444" xr:uid="{00000000-0005-0000-0000-0000A8170000}"/>
    <cellStyle name="Normal 5 2 2 3 2 2 5 3 2" xfId="14894" xr:uid="{1E70D4E1-478A-45E9-980F-AC55F64EE4B9}"/>
    <cellStyle name="Normal 5 2 2 3 2 2 5 4" xfId="10676" xr:uid="{C66A3649-DD33-493D-B5F2-66C1C3660C99}"/>
    <cellStyle name="Normal 5 2 2 3 2 2 6" xfId="2574" xr:uid="{00000000-0005-0000-0000-0000A9170000}"/>
    <cellStyle name="Normal 5 2 2 3 2 2 6 2" xfId="6857" xr:uid="{00000000-0005-0000-0000-0000AA170000}"/>
    <cellStyle name="Normal 5 2 2 3 2 2 6 2 2" xfId="15307" xr:uid="{527B6CA9-35EE-4A42-93B6-23D8E5DCFF50}"/>
    <cellStyle name="Normal 5 2 2 3 2 2 6 3" xfId="11089" xr:uid="{0D2674D5-0BDB-481A-8BCC-46CA8895C417}"/>
    <cellStyle name="Normal 5 2 2 3 2 2 7" xfId="4792" xr:uid="{00000000-0005-0000-0000-0000AB170000}"/>
    <cellStyle name="Normal 5 2 2 3 2 2 7 2" xfId="13242" xr:uid="{AA6E04B0-E428-470E-9BD8-427FDCC4B13E}"/>
    <cellStyle name="Normal 5 2 2 3 2 2 8" xfId="9024" xr:uid="{D756B58D-C77D-4D52-9405-911FE4173F4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9316B15F-8618-4B74-8113-A59B1BD2D120}"/>
    <cellStyle name="Normal 5 2 2 3 2 3 2 3" xfId="11581" xr:uid="{E770032A-F40D-419C-AE17-EE2D43C6AE29}"/>
    <cellStyle name="Normal 5 2 2 3 2 3 3" xfId="5204" xr:uid="{00000000-0005-0000-0000-0000AF170000}"/>
    <cellStyle name="Normal 5 2 2 3 2 3 3 2" xfId="13654" xr:uid="{D3AE7CD9-EB80-4D07-8A2D-352B1659634D}"/>
    <cellStyle name="Normal 5 2 2 3 2 3 4" xfId="9436" xr:uid="{D0E47537-5B66-4955-A16B-B2434894F94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32C8C07F-E6B5-491F-B11B-B7D99ADE6949}"/>
    <cellStyle name="Normal 5 2 2 3 2 4 2 3" xfId="11994" xr:uid="{0390D0F7-0FC9-4B3B-B893-E39FA6E3E706}"/>
    <cellStyle name="Normal 5 2 2 3 2 4 3" xfId="5617" xr:uid="{00000000-0005-0000-0000-0000B3170000}"/>
    <cellStyle name="Normal 5 2 2 3 2 4 3 2" xfId="14067" xr:uid="{EFF83374-2289-4269-A60E-092C8C3CFE25}"/>
    <cellStyle name="Normal 5 2 2 3 2 4 4" xfId="9849" xr:uid="{1E59F0EA-0569-450B-AC1E-2F36C53AB1A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BFD3642E-2BE7-44AA-ABDA-3D7950BCBCED}"/>
    <cellStyle name="Normal 5 2 2 3 2 5 2 3" xfId="12407" xr:uid="{2CBD3219-C946-4CA3-A1FD-11459CBDEE9D}"/>
    <cellStyle name="Normal 5 2 2 3 2 5 3" xfId="6030" xr:uid="{00000000-0005-0000-0000-0000B7170000}"/>
    <cellStyle name="Normal 5 2 2 3 2 5 3 2" xfId="14480" xr:uid="{E8FADAC1-487D-4C13-86AF-B557E5FEE96B}"/>
    <cellStyle name="Normal 5 2 2 3 2 5 4" xfId="10262" xr:uid="{4775A68F-4132-476E-9299-0BF076BF8D21}"/>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7002B8DB-8AD3-4CEA-80A4-9FEC9B6B59A2}"/>
    <cellStyle name="Normal 5 2 2 3 2 6 2 3" xfId="12820" xr:uid="{D2582F7F-39F6-408E-95EB-CA53A052AC35}"/>
    <cellStyle name="Normal 5 2 2 3 2 6 3" xfId="6443" xr:uid="{00000000-0005-0000-0000-0000BB170000}"/>
    <cellStyle name="Normal 5 2 2 3 2 6 3 2" xfId="14893" xr:uid="{6A9607D1-A737-4D9B-ACF8-A38F57B5C071}"/>
    <cellStyle name="Normal 5 2 2 3 2 6 4" xfId="10675" xr:uid="{7E9F1D04-635C-4FE7-A168-7CFA0A27FEB5}"/>
    <cellStyle name="Normal 5 2 2 3 2 7" xfId="2573" xr:uid="{00000000-0005-0000-0000-0000BC170000}"/>
    <cellStyle name="Normal 5 2 2 3 2 7 2" xfId="6856" xr:uid="{00000000-0005-0000-0000-0000BD170000}"/>
    <cellStyle name="Normal 5 2 2 3 2 7 2 2" xfId="15306" xr:uid="{5550066D-C781-4AFC-8E1B-794E7C6D0826}"/>
    <cellStyle name="Normal 5 2 2 3 2 7 3" xfId="11088" xr:uid="{9BCDF4B8-D1CA-4561-B340-B368EDD900F8}"/>
    <cellStyle name="Normal 5 2 2 3 2 8" xfId="4791" xr:uid="{00000000-0005-0000-0000-0000BE170000}"/>
    <cellStyle name="Normal 5 2 2 3 2 8 2" xfId="13241" xr:uid="{AE20333E-AAC3-4987-9928-4C0B98E8DC79}"/>
    <cellStyle name="Normal 5 2 2 3 2 9" xfId="9023" xr:uid="{15663A98-5878-456F-B9D7-A4661982A17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93B93D0D-C7A3-4E0A-8E6B-CEB5F041516F}"/>
    <cellStyle name="Normal 5 2 2 3 3 2 2 3" xfId="11583" xr:uid="{356BF2FD-5F17-4270-A9E8-F7FD4C535137}"/>
    <cellStyle name="Normal 5 2 2 3 3 2 3" xfId="5206" xr:uid="{00000000-0005-0000-0000-0000C3170000}"/>
    <cellStyle name="Normal 5 2 2 3 3 2 3 2" xfId="13656" xr:uid="{292C1D33-703C-4956-AD7A-38293AF8BECF}"/>
    <cellStyle name="Normal 5 2 2 3 3 2 4" xfId="9438" xr:uid="{97444816-C987-4578-AF93-AA473E66110E}"/>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0B7746C6-7650-485D-B849-31C4BF3B5D81}"/>
    <cellStyle name="Normal 5 2 2 3 3 3 2 3" xfId="11996" xr:uid="{3C86BFF5-904C-4937-93F8-DBE28D67F912}"/>
    <cellStyle name="Normal 5 2 2 3 3 3 3" xfId="5619" xr:uid="{00000000-0005-0000-0000-0000C7170000}"/>
    <cellStyle name="Normal 5 2 2 3 3 3 3 2" xfId="14069" xr:uid="{FEF54241-6BE3-49EC-B1D1-AC8965279911}"/>
    <cellStyle name="Normal 5 2 2 3 3 3 4" xfId="9851" xr:uid="{63CEE5A7-6C3A-4E4C-B2DD-02A59644934D}"/>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8D3496ED-2382-462B-BA42-F22369F9D602}"/>
    <cellStyle name="Normal 5 2 2 3 3 4 2 3" xfId="12409" xr:uid="{230A1940-C932-4ED9-B37D-A24F307B2673}"/>
    <cellStyle name="Normal 5 2 2 3 3 4 3" xfId="6032" xr:uid="{00000000-0005-0000-0000-0000CB170000}"/>
    <cellStyle name="Normal 5 2 2 3 3 4 3 2" xfId="14482" xr:uid="{E54E5E87-F1F8-430E-9972-DC538A1DDA5D}"/>
    <cellStyle name="Normal 5 2 2 3 3 4 4" xfId="10264" xr:uid="{BB5F5FA6-1651-4F2D-801F-E201195C1B0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ECEAEE1E-6798-4880-BBC3-6BFBC811827C}"/>
    <cellStyle name="Normal 5 2 2 3 3 5 2 3" xfId="12822" xr:uid="{DD788F11-452E-43E0-BC7F-DAC94A6F127B}"/>
    <cellStyle name="Normal 5 2 2 3 3 5 3" xfId="6445" xr:uid="{00000000-0005-0000-0000-0000CF170000}"/>
    <cellStyle name="Normal 5 2 2 3 3 5 3 2" xfId="14895" xr:uid="{4EA6E83A-BF11-459C-8B03-705AB4C8638D}"/>
    <cellStyle name="Normal 5 2 2 3 3 5 4" xfId="10677" xr:uid="{C2BBC5A7-E73E-4F5C-BE42-E64D9304654D}"/>
    <cellStyle name="Normal 5 2 2 3 3 6" xfId="2575" xr:uid="{00000000-0005-0000-0000-0000D0170000}"/>
    <cellStyle name="Normal 5 2 2 3 3 6 2" xfId="6858" xr:uid="{00000000-0005-0000-0000-0000D1170000}"/>
    <cellStyle name="Normal 5 2 2 3 3 6 2 2" xfId="15308" xr:uid="{6B0AB5FC-2858-4F86-9E07-4C51C383C5EE}"/>
    <cellStyle name="Normal 5 2 2 3 3 6 3" xfId="11090" xr:uid="{95A3251B-674D-4163-A862-DC1FD0F31C80}"/>
    <cellStyle name="Normal 5 2 2 3 3 7" xfId="4793" xr:uid="{00000000-0005-0000-0000-0000D2170000}"/>
    <cellStyle name="Normal 5 2 2 3 3 7 2" xfId="13243" xr:uid="{79D8EDEA-5E82-4161-80DF-56048C7204EE}"/>
    <cellStyle name="Normal 5 2 2 3 3 8" xfId="9025" xr:uid="{46AE4F58-0CE6-458E-A036-D85E7A104DDD}"/>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88A829E7-B018-4ED7-B72E-48BB3A275B93}"/>
    <cellStyle name="Normal 5 2 2 3 4 2 3" xfId="11580" xr:uid="{CCF81B52-E8B1-41C1-A701-7E18DE4DA37B}"/>
    <cellStyle name="Normal 5 2 2 3 4 3" xfId="5203" xr:uid="{00000000-0005-0000-0000-0000D6170000}"/>
    <cellStyle name="Normal 5 2 2 3 4 3 2" xfId="13653" xr:uid="{E2CD1AE7-79B0-4C51-BF7B-9F67A963495F}"/>
    <cellStyle name="Normal 5 2 2 3 4 4" xfId="9435" xr:uid="{324B34AC-FCB8-49DD-9BCD-1F516820692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2E2166F7-3559-4570-89A7-5F828AA7089A}"/>
    <cellStyle name="Normal 5 2 2 3 5 2 3" xfId="11993" xr:uid="{BE36097E-2615-4516-9A6A-FC672ADC8C03}"/>
    <cellStyle name="Normal 5 2 2 3 5 3" xfId="5616" xr:uid="{00000000-0005-0000-0000-0000DA170000}"/>
    <cellStyle name="Normal 5 2 2 3 5 3 2" xfId="14066" xr:uid="{9F440530-9E1A-4316-9AD0-E8EB87D17B32}"/>
    <cellStyle name="Normal 5 2 2 3 5 4" xfId="9848" xr:uid="{FD92D934-6D34-4EF0-88C5-6D5CF0E3425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3A661AB5-8345-436B-B853-AE6B4DD951AA}"/>
    <cellStyle name="Normal 5 2 2 3 6 2 3" xfId="12406" xr:uid="{523F9E9D-B36D-4A6B-8774-A897376CE22F}"/>
    <cellStyle name="Normal 5 2 2 3 6 3" xfId="6029" xr:uid="{00000000-0005-0000-0000-0000DE170000}"/>
    <cellStyle name="Normal 5 2 2 3 6 3 2" xfId="14479" xr:uid="{39EE1A37-3F11-4F13-A532-0F5233F10437}"/>
    <cellStyle name="Normal 5 2 2 3 6 4" xfId="10261" xr:uid="{F9713B52-44FA-42E9-87F2-2E39FAE8417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A104A54B-5121-4AA0-9D7E-C3146FFA206D}"/>
    <cellStyle name="Normal 5 2 2 3 7 2 3" xfId="12819" xr:uid="{9C3D214F-1401-4D0D-8D87-FE70628F28F3}"/>
    <cellStyle name="Normal 5 2 2 3 7 3" xfId="6442" xr:uid="{00000000-0005-0000-0000-0000E2170000}"/>
    <cellStyle name="Normal 5 2 2 3 7 3 2" xfId="14892" xr:uid="{12A75C7C-C42A-48CE-BB8C-7EAEC80B079A}"/>
    <cellStyle name="Normal 5 2 2 3 7 4" xfId="10674" xr:uid="{3B9873C1-772E-4549-94D9-66CE355A9A63}"/>
    <cellStyle name="Normal 5 2 2 3 8" xfId="2572" xr:uid="{00000000-0005-0000-0000-0000E3170000}"/>
    <cellStyle name="Normal 5 2 2 3 8 2" xfId="6855" xr:uid="{00000000-0005-0000-0000-0000E4170000}"/>
    <cellStyle name="Normal 5 2 2 3 8 2 2" xfId="15305" xr:uid="{15613589-E836-49FC-B214-22D9DBFB883B}"/>
    <cellStyle name="Normal 5 2 2 3 8 3" xfId="11087" xr:uid="{0FEA6FBD-5F36-48AE-BD88-A1AD0DDC1572}"/>
    <cellStyle name="Normal 5 2 2 3 9" xfId="4790" xr:uid="{00000000-0005-0000-0000-0000E5170000}"/>
    <cellStyle name="Normal 5 2 2 3 9 2" xfId="13240" xr:uid="{972C6B15-626C-4F59-A53E-4835DA178618}"/>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DE21B70A-F680-4147-8184-72017905D479}"/>
    <cellStyle name="Normal 5 2 2 4 2 2 2 3" xfId="11585" xr:uid="{FD118524-7CFE-4BB1-AAE1-4E5E77AC1352}"/>
    <cellStyle name="Normal 5 2 2 4 2 2 3" xfId="5208" xr:uid="{00000000-0005-0000-0000-0000EB170000}"/>
    <cellStyle name="Normal 5 2 2 4 2 2 3 2" xfId="13658" xr:uid="{94ADA4DA-D86F-4766-B811-90C60B2607FB}"/>
    <cellStyle name="Normal 5 2 2 4 2 2 4" xfId="9440" xr:uid="{F5A926EA-7623-4C53-B44A-FC55F714D411}"/>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17664CF6-BB26-46D2-9E05-453490F888F9}"/>
    <cellStyle name="Normal 5 2 2 4 2 3 2 3" xfId="11998" xr:uid="{C6B7D022-D782-4A23-9E5A-73BA6153111B}"/>
    <cellStyle name="Normal 5 2 2 4 2 3 3" xfId="5621" xr:uid="{00000000-0005-0000-0000-0000EF170000}"/>
    <cellStyle name="Normal 5 2 2 4 2 3 3 2" xfId="14071" xr:uid="{7CD252CB-4DF2-4DF8-A3CE-4B497CAEA779}"/>
    <cellStyle name="Normal 5 2 2 4 2 3 4" xfId="9853" xr:uid="{D01B4F88-4797-4CEF-9614-E0237087CEC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ED68AA4C-A05C-45FA-976C-4466EFFC4E95}"/>
    <cellStyle name="Normal 5 2 2 4 2 4 2 3" xfId="12411" xr:uid="{FD03C015-C5AF-4877-ACDC-631B33E67A29}"/>
    <cellStyle name="Normal 5 2 2 4 2 4 3" xfId="6034" xr:uid="{00000000-0005-0000-0000-0000F3170000}"/>
    <cellStyle name="Normal 5 2 2 4 2 4 3 2" xfId="14484" xr:uid="{20B75FBF-77A2-4EED-AD75-AAA944BC4A0C}"/>
    <cellStyle name="Normal 5 2 2 4 2 4 4" xfId="10266" xr:uid="{B9EE84EC-45A5-413A-874E-777EAE107D09}"/>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2A190F15-AD86-453C-8447-1AC92CD50CCB}"/>
    <cellStyle name="Normal 5 2 2 4 2 5 2 3" xfId="12824" xr:uid="{7439969F-DFAA-48B5-8ECD-3F95EB58B9C2}"/>
    <cellStyle name="Normal 5 2 2 4 2 5 3" xfId="6447" xr:uid="{00000000-0005-0000-0000-0000F7170000}"/>
    <cellStyle name="Normal 5 2 2 4 2 5 3 2" xfId="14897" xr:uid="{1975A289-D4E7-4C4D-A82F-37352D38B713}"/>
    <cellStyle name="Normal 5 2 2 4 2 5 4" xfId="10679" xr:uid="{D4591413-3795-41C2-8D7F-C8CA072A84D6}"/>
    <cellStyle name="Normal 5 2 2 4 2 6" xfId="2577" xr:uid="{00000000-0005-0000-0000-0000F8170000}"/>
    <cellStyle name="Normal 5 2 2 4 2 6 2" xfId="6860" xr:uid="{00000000-0005-0000-0000-0000F9170000}"/>
    <cellStyle name="Normal 5 2 2 4 2 6 2 2" xfId="15310" xr:uid="{61F61179-2A82-4555-A898-60E63EF779F3}"/>
    <cellStyle name="Normal 5 2 2 4 2 6 3" xfId="11092" xr:uid="{C7486262-5F79-400D-BBA9-67AEBBF7FAEC}"/>
    <cellStyle name="Normal 5 2 2 4 2 7" xfId="4795" xr:uid="{00000000-0005-0000-0000-0000FA170000}"/>
    <cellStyle name="Normal 5 2 2 4 2 7 2" xfId="13245" xr:uid="{365D5CCA-3723-43FE-A076-B1C32343623C}"/>
    <cellStyle name="Normal 5 2 2 4 2 8" xfId="9027" xr:uid="{4D2C5C05-BF69-43D1-B4DA-8FC8120CDB84}"/>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DEDAB1E6-60EF-441B-9616-FBC9FFDAAA56}"/>
    <cellStyle name="Normal 5 2 2 4 3 2 3" xfId="11584" xr:uid="{8BE78CD1-2411-477C-B1A4-A9326A4C9A7F}"/>
    <cellStyle name="Normal 5 2 2 4 3 3" xfId="5207" xr:uid="{00000000-0005-0000-0000-0000FE170000}"/>
    <cellStyle name="Normal 5 2 2 4 3 3 2" xfId="13657" xr:uid="{3EE79FC8-019F-4CDB-8BA2-8D47C94E13E8}"/>
    <cellStyle name="Normal 5 2 2 4 3 4" xfId="9439" xr:uid="{02AF1FEB-C876-4557-93C9-D76D9A1105CE}"/>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7D7F70DC-D623-4238-8A64-54E827B51E42}"/>
    <cellStyle name="Normal 5 2 2 4 4 2 3" xfId="11997" xr:uid="{8DE37C89-E349-4FA7-9EFF-2D8D5E4A6DB2}"/>
    <cellStyle name="Normal 5 2 2 4 4 3" xfId="5620" xr:uid="{00000000-0005-0000-0000-000002180000}"/>
    <cellStyle name="Normal 5 2 2 4 4 3 2" xfId="14070" xr:uid="{DBAC2244-5EE6-4211-832E-00A69103A8E0}"/>
    <cellStyle name="Normal 5 2 2 4 4 4" xfId="9852" xr:uid="{D41A4461-5D81-4EB3-8C3A-5CE2E9F4A58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623D6119-B65F-4BEE-8FAC-2BA428FB9909}"/>
    <cellStyle name="Normal 5 2 2 4 5 2 3" xfId="12410" xr:uid="{60714146-D8A7-460A-B5D6-579656AD6134}"/>
    <cellStyle name="Normal 5 2 2 4 5 3" xfId="6033" xr:uid="{00000000-0005-0000-0000-000006180000}"/>
    <cellStyle name="Normal 5 2 2 4 5 3 2" xfId="14483" xr:uid="{87B5413F-8047-466A-BA7A-F2BBE5A7051C}"/>
    <cellStyle name="Normal 5 2 2 4 5 4" xfId="10265" xr:uid="{72D193AC-E29E-494B-BB68-D42DBDC1F7E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01D03FA8-0A45-4E3E-8126-738C9645127E}"/>
    <cellStyle name="Normal 5 2 2 4 6 2 3" xfId="12823" xr:uid="{F01D5721-F331-4EC8-95FF-0D458A52F911}"/>
    <cellStyle name="Normal 5 2 2 4 6 3" xfId="6446" xr:uid="{00000000-0005-0000-0000-00000A180000}"/>
    <cellStyle name="Normal 5 2 2 4 6 3 2" xfId="14896" xr:uid="{C77857D2-8BED-4C51-BA55-29FB812973FD}"/>
    <cellStyle name="Normal 5 2 2 4 6 4" xfId="10678" xr:uid="{C77F5B4F-1CFB-4662-8D64-C5751C3E9074}"/>
    <cellStyle name="Normal 5 2 2 4 7" xfId="2576" xr:uid="{00000000-0005-0000-0000-00000B180000}"/>
    <cellStyle name="Normal 5 2 2 4 7 2" xfId="6859" xr:uid="{00000000-0005-0000-0000-00000C180000}"/>
    <cellStyle name="Normal 5 2 2 4 7 2 2" xfId="15309" xr:uid="{2D508DB2-78EB-4337-983F-6A9F5BD640EF}"/>
    <cellStyle name="Normal 5 2 2 4 7 3" xfId="11091" xr:uid="{56A18A25-819E-4C6E-A8D8-02E63EFBD002}"/>
    <cellStyle name="Normal 5 2 2 4 8" xfId="4794" xr:uid="{00000000-0005-0000-0000-00000D180000}"/>
    <cellStyle name="Normal 5 2 2 4 8 2" xfId="13244" xr:uid="{F531FF9E-DF25-44F2-B73D-74891C8085A2}"/>
    <cellStyle name="Normal 5 2 2 4 9" xfId="9026" xr:uid="{1E69D19A-B56A-4F07-B910-B69BC65AF0C7}"/>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836F90E2-2ED4-4CCB-B9A7-0065CF2A68EB}"/>
    <cellStyle name="Normal 5 2 2 5 2 2 3" xfId="11586" xr:uid="{217D3B5F-0687-4880-89DB-CBF580DD2974}"/>
    <cellStyle name="Normal 5 2 2 5 2 3" xfId="5209" xr:uid="{00000000-0005-0000-0000-000012180000}"/>
    <cellStyle name="Normal 5 2 2 5 2 3 2" xfId="13659" xr:uid="{AEADBC77-3FF8-440C-B7E0-F88A32581F72}"/>
    <cellStyle name="Normal 5 2 2 5 2 4" xfId="9441" xr:uid="{858E5094-999F-4E83-A280-FBDF924AAF48}"/>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6885813D-306E-47BB-BD98-6715DC12D2BD}"/>
    <cellStyle name="Normal 5 2 2 5 3 2 3" xfId="11999" xr:uid="{BCE577BA-0347-40FC-B258-15DEFFADA868}"/>
    <cellStyle name="Normal 5 2 2 5 3 3" xfId="5622" xr:uid="{00000000-0005-0000-0000-000016180000}"/>
    <cellStyle name="Normal 5 2 2 5 3 3 2" xfId="14072" xr:uid="{252C70C6-2F8A-41FE-94E5-48D2CE3602BB}"/>
    <cellStyle name="Normal 5 2 2 5 3 4" xfId="9854" xr:uid="{CFED2464-A937-4F11-9611-683AB2F163E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3ECC2A58-1C10-4316-9353-2058F365DE1C}"/>
    <cellStyle name="Normal 5 2 2 5 4 2 3" xfId="12412" xr:uid="{37306212-6EC6-45C5-995A-5BE9FCEE07F1}"/>
    <cellStyle name="Normal 5 2 2 5 4 3" xfId="6035" xr:uid="{00000000-0005-0000-0000-00001A180000}"/>
    <cellStyle name="Normal 5 2 2 5 4 3 2" xfId="14485" xr:uid="{5A806C7F-9E9E-4EA1-B74D-C72BA064FCA1}"/>
    <cellStyle name="Normal 5 2 2 5 4 4" xfId="10267" xr:uid="{2911059B-3E1D-45D8-92C2-052EFD3E13A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40E3A44A-4500-4393-AA4B-AC6626C8691F}"/>
    <cellStyle name="Normal 5 2 2 5 5 2 3" xfId="12825" xr:uid="{D75BD94D-0E66-4883-A9F4-0870BA37F34F}"/>
    <cellStyle name="Normal 5 2 2 5 5 3" xfId="6448" xr:uid="{00000000-0005-0000-0000-00001E180000}"/>
    <cellStyle name="Normal 5 2 2 5 5 3 2" xfId="14898" xr:uid="{AE39BD8F-45A7-4D7D-8AE2-B5C0D963DC8A}"/>
    <cellStyle name="Normal 5 2 2 5 5 4" xfId="10680" xr:uid="{875ADD9B-D9D0-4AAD-B70D-C4A33E2BEA36}"/>
    <cellStyle name="Normal 5 2 2 5 6" xfId="2578" xr:uid="{00000000-0005-0000-0000-00001F180000}"/>
    <cellStyle name="Normal 5 2 2 5 6 2" xfId="6861" xr:uid="{00000000-0005-0000-0000-000020180000}"/>
    <cellStyle name="Normal 5 2 2 5 6 2 2" xfId="15311" xr:uid="{23E98540-E2C7-46C6-B1BD-33BF1E83D50E}"/>
    <cellStyle name="Normal 5 2 2 5 6 3" xfId="11093" xr:uid="{3B394249-BC6B-489D-8107-B4152BA9E97D}"/>
    <cellStyle name="Normal 5 2 2 5 7" xfId="4796" xr:uid="{00000000-0005-0000-0000-000021180000}"/>
    <cellStyle name="Normal 5 2 2 5 7 2" xfId="13246" xr:uid="{08ADFBAF-0CB4-4A34-93C3-4535A7DE20F2}"/>
    <cellStyle name="Normal 5 2 2 5 8" xfId="9028" xr:uid="{26B2EB4F-DE6C-47EB-8995-193F94A61C8F}"/>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43CBA816-3363-4E40-A6E7-9A85C091B5ED}"/>
    <cellStyle name="Normal 5 2 2 6 2 3" xfId="11571" xr:uid="{4F7E1FB7-E5BB-4498-9D5B-2FB9AF834218}"/>
    <cellStyle name="Normal 5 2 2 6 3" xfId="5194" xr:uid="{00000000-0005-0000-0000-000025180000}"/>
    <cellStyle name="Normal 5 2 2 6 3 2" xfId="13644" xr:uid="{789068B7-998B-428B-BF27-0E4851FEA9C7}"/>
    <cellStyle name="Normal 5 2 2 6 4" xfId="9426" xr:uid="{C311DCE2-88C6-4880-838B-BE543C102416}"/>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2100EE5A-7206-41A7-A9FC-C710CA15807E}"/>
    <cellStyle name="Normal 5 2 2 7 2 3" xfId="11984" xr:uid="{74DC2B0A-F605-4B1E-BAD6-7B1CB8761846}"/>
    <cellStyle name="Normal 5 2 2 7 3" xfId="5607" xr:uid="{00000000-0005-0000-0000-000029180000}"/>
    <cellStyle name="Normal 5 2 2 7 3 2" xfId="14057" xr:uid="{B61FDBC3-DCF7-4A99-B36D-81F1B6003829}"/>
    <cellStyle name="Normal 5 2 2 7 4" xfId="9839" xr:uid="{21F7D98F-0639-41EB-BB40-431A0509AA44}"/>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AEF4531F-B20B-482E-AF24-44A1E94FFDFC}"/>
    <cellStyle name="Normal 5 2 2 8 2 3" xfId="12397" xr:uid="{E12EBDA5-FC77-47C3-B460-EC5E5C87B582}"/>
    <cellStyle name="Normal 5 2 2 8 3" xfId="6020" xr:uid="{00000000-0005-0000-0000-00002D180000}"/>
    <cellStyle name="Normal 5 2 2 8 3 2" xfId="14470" xr:uid="{F07C4039-7D25-4CDD-A951-E0AF9A7EA3C2}"/>
    <cellStyle name="Normal 5 2 2 8 4" xfId="10252" xr:uid="{A7B2BD00-DB81-486A-9617-7A23EB0594AB}"/>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28E001BD-4473-4A9F-BF20-32195B70B8BD}"/>
    <cellStyle name="Normal 5 2 2 9 2 3" xfId="12810" xr:uid="{BED2B846-8EDD-4748-9032-CD13AC66BB95}"/>
    <cellStyle name="Normal 5 2 2 9 3" xfId="6433" xr:uid="{00000000-0005-0000-0000-000031180000}"/>
    <cellStyle name="Normal 5 2 2 9 3 2" xfId="14883" xr:uid="{2A898335-7F67-414B-840A-C752E6E82CBC}"/>
    <cellStyle name="Normal 5 2 2 9 4" xfId="10665" xr:uid="{EC57311F-305A-4C92-9D16-7FC114C1D008}"/>
    <cellStyle name="Normal 5 2 3" xfId="424" xr:uid="{00000000-0005-0000-0000-000032180000}"/>
    <cellStyle name="Normal 5 2 3 10" xfId="4797" xr:uid="{00000000-0005-0000-0000-000033180000}"/>
    <cellStyle name="Normal 5 2 3 10 2" xfId="13247" xr:uid="{071BCC1C-3E74-4FD9-846F-BC0FB8EBDAC1}"/>
    <cellStyle name="Normal 5 2 3 11" xfId="9029" xr:uid="{C18FC9FC-A6DF-4816-BE8B-7486EC550401}"/>
    <cellStyle name="Normal 5 2 3 2" xfId="425" xr:uid="{00000000-0005-0000-0000-000034180000}"/>
    <cellStyle name="Normal 5 2 3 2 10" xfId="9030" xr:uid="{12339314-D36C-4E74-BA00-BAF490726092}"/>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2390A682-48BA-43A6-AB35-AA7838B39D90}"/>
    <cellStyle name="Normal 5 2 3 2 2 2 2 2 3" xfId="11590" xr:uid="{7B47E958-335A-4D1B-8357-9D364478DC33}"/>
    <cellStyle name="Normal 5 2 3 2 2 2 2 3" xfId="5213" xr:uid="{00000000-0005-0000-0000-00003A180000}"/>
    <cellStyle name="Normal 5 2 3 2 2 2 2 3 2" xfId="13663" xr:uid="{DB310067-7BEF-44CC-9B41-8692FE2C60E5}"/>
    <cellStyle name="Normal 5 2 3 2 2 2 2 4" xfId="9445" xr:uid="{102D7624-646E-4DAB-BC4A-FBC496A5C3C1}"/>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6FD7CE4C-C6B9-4908-80EF-CA20093C19F5}"/>
    <cellStyle name="Normal 5 2 3 2 2 2 3 2 3" xfId="12003" xr:uid="{505C3CD4-73B2-459E-B404-345F9E74735E}"/>
    <cellStyle name="Normal 5 2 3 2 2 2 3 3" xfId="5626" xr:uid="{00000000-0005-0000-0000-00003E180000}"/>
    <cellStyle name="Normal 5 2 3 2 2 2 3 3 2" xfId="14076" xr:uid="{824FE3F2-2133-4422-A1F3-229715688B50}"/>
    <cellStyle name="Normal 5 2 3 2 2 2 3 4" xfId="9858" xr:uid="{9BE02C04-1877-4186-A38F-AF9EB0B9983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5790F0A8-A874-43D5-9890-A2C27BAC0DF7}"/>
    <cellStyle name="Normal 5 2 3 2 2 2 4 2 3" xfId="12416" xr:uid="{8A83385D-B560-4D99-AED1-4FF32B5F0168}"/>
    <cellStyle name="Normal 5 2 3 2 2 2 4 3" xfId="6039" xr:uid="{00000000-0005-0000-0000-000042180000}"/>
    <cellStyle name="Normal 5 2 3 2 2 2 4 3 2" xfId="14489" xr:uid="{260827A3-9FAF-44DD-BCDA-8F1F65BC2176}"/>
    <cellStyle name="Normal 5 2 3 2 2 2 4 4" xfId="10271" xr:uid="{9EE97BC2-ECA9-4775-9CBB-B151F2EE83A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CA8D39A7-40E3-4239-B464-E592781AA26B}"/>
    <cellStyle name="Normal 5 2 3 2 2 2 5 2 3" xfId="12829" xr:uid="{90EB4F6C-E74B-4517-81CF-CA011EFB64B7}"/>
    <cellStyle name="Normal 5 2 3 2 2 2 5 3" xfId="6452" xr:uid="{00000000-0005-0000-0000-000046180000}"/>
    <cellStyle name="Normal 5 2 3 2 2 2 5 3 2" xfId="14902" xr:uid="{5607D2A8-7251-4DBB-A8D3-42700C8D972D}"/>
    <cellStyle name="Normal 5 2 3 2 2 2 5 4" xfId="10684" xr:uid="{A74C1770-39C0-4B64-B21C-25279318AF43}"/>
    <cellStyle name="Normal 5 2 3 2 2 2 6" xfId="2582" xr:uid="{00000000-0005-0000-0000-000047180000}"/>
    <cellStyle name="Normal 5 2 3 2 2 2 6 2" xfId="6865" xr:uid="{00000000-0005-0000-0000-000048180000}"/>
    <cellStyle name="Normal 5 2 3 2 2 2 6 2 2" xfId="15315" xr:uid="{06F8392E-BC58-4EA9-B73F-5BA224CBCEAC}"/>
    <cellStyle name="Normal 5 2 3 2 2 2 6 3" xfId="11097" xr:uid="{6BF6CB8F-CC4C-486A-A299-351C35DEB17B}"/>
    <cellStyle name="Normal 5 2 3 2 2 2 7" xfId="4800" xr:uid="{00000000-0005-0000-0000-000049180000}"/>
    <cellStyle name="Normal 5 2 3 2 2 2 7 2" xfId="13250" xr:uid="{26AF98FC-320A-4401-98D7-090EF88D3D46}"/>
    <cellStyle name="Normal 5 2 3 2 2 2 8" xfId="9032" xr:uid="{EB15B623-E3FF-4253-BF34-D7D87B104B97}"/>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AD3BAD43-D915-4CD6-A8C4-6ED5E95E8FF7}"/>
    <cellStyle name="Normal 5 2 3 2 2 3 2 3" xfId="11589" xr:uid="{A87ED55F-1FE4-422D-8F6F-2661F8A59143}"/>
    <cellStyle name="Normal 5 2 3 2 2 3 3" xfId="5212" xr:uid="{00000000-0005-0000-0000-00004D180000}"/>
    <cellStyle name="Normal 5 2 3 2 2 3 3 2" xfId="13662" xr:uid="{8CB5414D-6431-477F-A0B4-2945E1699324}"/>
    <cellStyle name="Normal 5 2 3 2 2 3 4" xfId="9444" xr:uid="{6DF386BA-291E-4CE9-AE88-46E2EC6DC1F8}"/>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106E7C6A-5728-473D-974A-2CFCFF2C09F3}"/>
    <cellStyle name="Normal 5 2 3 2 2 4 2 3" xfId="12002" xr:uid="{98817664-8503-4654-A29B-932BCF6AF04B}"/>
    <cellStyle name="Normal 5 2 3 2 2 4 3" xfId="5625" xr:uid="{00000000-0005-0000-0000-000051180000}"/>
    <cellStyle name="Normal 5 2 3 2 2 4 3 2" xfId="14075" xr:uid="{A27EBF1E-8890-4963-B653-ECF54D3EB74E}"/>
    <cellStyle name="Normal 5 2 3 2 2 4 4" xfId="9857" xr:uid="{42B2B6B9-4338-4D97-B92E-CA2D30EFDC29}"/>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3F7B7283-F7B8-4817-8D2B-8CABB0EC1083}"/>
    <cellStyle name="Normal 5 2 3 2 2 5 2 3" xfId="12415" xr:uid="{BE3CDF61-2937-46C1-A51A-1434B9C47B60}"/>
    <cellStyle name="Normal 5 2 3 2 2 5 3" xfId="6038" xr:uid="{00000000-0005-0000-0000-000055180000}"/>
    <cellStyle name="Normal 5 2 3 2 2 5 3 2" xfId="14488" xr:uid="{F52C5F6E-7661-40A1-9191-E5F3EE402D82}"/>
    <cellStyle name="Normal 5 2 3 2 2 5 4" xfId="10270" xr:uid="{DF5A411C-C4A8-407F-85B4-C2D3633F804B}"/>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46D81522-F155-432C-9787-D04DDBB31110}"/>
    <cellStyle name="Normal 5 2 3 2 2 6 2 3" xfId="12828" xr:uid="{0AE8C4CB-5B56-42A6-A28B-24E180F5F8D1}"/>
    <cellStyle name="Normal 5 2 3 2 2 6 3" xfId="6451" xr:uid="{00000000-0005-0000-0000-000059180000}"/>
    <cellStyle name="Normal 5 2 3 2 2 6 3 2" xfId="14901" xr:uid="{1B289E41-DB69-4EB6-90AB-F7B3390E2DF3}"/>
    <cellStyle name="Normal 5 2 3 2 2 6 4" xfId="10683" xr:uid="{F0707D75-C73C-416C-8CA2-1663190B6F4C}"/>
    <cellStyle name="Normal 5 2 3 2 2 7" xfId="2581" xr:uid="{00000000-0005-0000-0000-00005A180000}"/>
    <cellStyle name="Normal 5 2 3 2 2 7 2" xfId="6864" xr:uid="{00000000-0005-0000-0000-00005B180000}"/>
    <cellStyle name="Normal 5 2 3 2 2 7 2 2" xfId="15314" xr:uid="{74E81434-1579-4313-A4D7-E5D2BE53A659}"/>
    <cellStyle name="Normal 5 2 3 2 2 7 3" xfId="11096" xr:uid="{F1E13E33-3555-47AB-86AB-4A4DE8271195}"/>
    <cellStyle name="Normal 5 2 3 2 2 8" xfId="4799" xr:uid="{00000000-0005-0000-0000-00005C180000}"/>
    <cellStyle name="Normal 5 2 3 2 2 8 2" xfId="13249" xr:uid="{A32A8EAA-63B2-4D1C-A191-DE6575785A05}"/>
    <cellStyle name="Normal 5 2 3 2 2 9" xfId="9031" xr:uid="{7F7E211A-A99B-4920-BCD5-1A92B27BF7B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3DB54021-AD0C-4A94-B080-6F7338EE5587}"/>
    <cellStyle name="Normal 5 2 3 2 3 2 2 3" xfId="11591" xr:uid="{C8649537-87F1-4FA3-B892-F88F03AE6F9F}"/>
    <cellStyle name="Normal 5 2 3 2 3 2 3" xfId="5214" xr:uid="{00000000-0005-0000-0000-000061180000}"/>
    <cellStyle name="Normal 5 2 3 2 3 2 3 2" xfId="13664" xr:uid="{32773A31-C844-4F5A-AA46-B3150855792F}"/>
    <cellStyle name="Normal 5 2 3 2 3 2 4" xfId="9446" xr:uid="{F8167118-6304-4FCE-A2CC-774AC97811AC}"/>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BFC5385A-7D28-4166-8DAC-FCE39E269293}"/>
    <cellStyle name="Normal 5 2 3 2 3 3 2 3" xfId="12004" xr:uid="{97667F87-2AA0-4F98-BCE2-7F11A9B468C5}"/>
    <cellStyle name="Normal 5 2 3 2 3 3 3" xfId="5627" xr:uid="{00000000-0005-0000-0000-000065180000}"/>
    <cellStyle name="Normal 5 2 3 2 3 3 3 2" xfId="14077" xr:uid="{B241C0A5-7D9A-467F-83D5-2A77E7DF7CFF}"/>
    <cellStyle name="Normal 5 2 3 2 3 3 4" xfId="9859" xr:uid="{78D51571-A856-48C0-A7CF-0AB3BE570A3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D8EA6440-CC44-4EF7-8094-D99CE2AFB005}"/>
    <cellStyle name="Normal 5 2 3 2 3 4 2 3" xfId="12417" xr:uid="{A1F4324F-F076-47CF-87A7-F98CBD77EB2B}"/>
    <cellStyle name="Normal 5 2 3 2 3 4 3" xfId="6040" xr:uid="{00000000-0005-0000-0000-000069180000}"/>
    <cellStyle name="Normal 5 2 3 2 3 4 3 2" xfId="14490" xr:uid="{51D0794E-40B4-4323-B7B6-263AF29D7ABB}"/>
    <cellStyle name="Normal 5 2 3 2 3 4 4" xfId="10272" xr:uid="{D31CDAA7-8917-48D2-A553-30709FE9842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1D0D438C-8754-44C8-9DBA-6A5B8D5A5D1E}"/>
    <cellStyle name="Normal 5 2 3 2 3 5 2 3" xfId="12830" xr:uid="{C899C982-8558-4CCB-99A5-B3B5D4D8A40C}"/>
    <cellStyle name="Normal 5 2 3 2 3 5 3" xfId="6453" xr:uid="{00000000-0005-0000-0000-00006D180000}"/>
    <cellStyle name="Normal 5 2 3 2 3 5 3 2" xfId="14903" xr:uid="{7A6C6B4B-10EC-4AFC-BB2F-187D037CF650}"/>
    <cellStyle name="Normal 5 2 3 2 3 5 4" xfId="10685" xr:uid="{0E35A3EB-2A6F-4EE8-AE45-1285D2CEEE1C}"/>
    <cellStyle name="Normal 5 2 3 2 3 6" xfId="2583" xr:uid="{00000000-0005-0000-0000-00006E180000}"/>
    <cellStyle name="Normal 5 2 3 2 3 6 2" xfId="6866" xr:uid="{00000000-0005-0000-0000-00006F180000}"/>
    <cellStyle name="Normal 5 2 3 2 3 6 2 2" xfId="15316" xr:uid="{9877498F-CAA0-4592-9A1C-80C3C3C5F653}"/>
    <cellStyle name="Normal 5 2 3 2 3 6 3" xfId="11098" xr:uid="{9158C966-9CC4-4A2E-AB48-47CD2BBFF675}"/>
    <cellStyle name="Normal 5 2 3 2 3 7" xfId="4801" xr:uid="{00000000-0005-0000-0000-000070180000}"/>
    <cellStyle name="Normal 5 2 3 2 3 7 2" xfId="13251" xr:uid="{D6EB7476-1399-4D59-9818-D62A4D993E15}"/>
    <cellStyle name="Normal 5 2 3 2 3 8" xfId="9033" xr:uid="{F06A0492-67C9-4BF7-BB2E-B98776D11E67}"/>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EB1EB223-16F0-4156-A500-37BE94A6238B}"/>
    <cellStyle name="Normal 5 2 3 2 4 2 3" xfId="11588" xr:uid="{9AF426AF-AB6E-4EFE-9F52-AE34BB84F35D}"/>
    <cellStyle name="Normal 5 2 3 2 4 3" xfId="5211" xr:uid="{00000000-0005-0000-0000-000074180000}"/>
    <cellStyle name="Normal 5 2 3 2 4 3 2" xfId="13661" xr:uid="{E8534E49-4B6D-4D62-A0AC-C301F737D33F}"/>
    <cellStyle name="Normal 5 2 3 2 4 4" xfId="9443" xr:uid="{7CB945A6-D2FD-4623-A217-85F37D23523D}"/>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8E8EC28-2DCD-45C9-9923-B434A1276926}"/>
    <cellStyle name="Normal 5 2 3 2 5 2 3" xfId="12001" xr:uid="{C7E9A890-A576-47B7-B7A0-C48127C52D70}"/>
    <cellStyle name="Normal 5 2 3 2 5 3" xfId="5624" xr:uid="{00000000-0005-0000-0000-000078180000}"/>
    <cellStyle name="Normal 5 2 3 2 5 3 2" xfId="14074" xr:uid="{932AB5F0-DCA1-464E-A1B4-C6A97607A3AF}"/>
    <cellStyle name="Normal 5 2 3 2 5 4" xfId="9856" xr:uid="{A5A06C35-DC76-44A5-A3EC-6735B5E0EAEA}"/>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83338F66-A7F2-42D6-B54A-0C1BFD9159E4}"/>
    <cellStyle name="Normal 5 2 3 2 6 2 3" xfId="12414" xr:uid="{8D3F3A41-274C-4BD3-BE5E-482A188A1AB7}"/>
    <cellStyle name="Normal 5 2 3 2 6 3" xfId="6037" xr:uid="{00000000-0005-0000-0000-00007C180000}"/>
    <cellStyle name="Normal 5 2 3 2 6 3 2" xfId="14487" xr:uid="{D6AB9767-333D-449E-8FD1-45A01E14088E}"/>
    <cellStyle name="Normal 5 2 3 2 6 4" xfId="10269" xr:uid="{789801EB-4900-47E5-8562-568ACBF12ADE}"/>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80284BC0-66EB-49E6-B546-FFA98CC96919}"/>
    <cellStyle name="Normal 5 2 3 2 7 2 3" xfId="12827" xr:uid="{2F7B8F24-1911-4729-B68B-1DB65D580A7E}"/>
    <cellStyle name="Normal 5 2 3 2 7 3" xfId="6450" xr:uid="{00000000-0005-0000-0000-000080180000}"/>
    <cellStyle name="Normal 5 2 3 2 7 3 2" xfId="14900" xr:uid="{5776A470-9282-4D34-8BFE-EDFFFE0A431F}"/>
    <cellStyle name="Normal 5 2 3 2 7 4" xfId="10682" xr:uid="{AC19AC89-E672-4E2E-B7E5-F39893AC63D6}"/>
    <cellStyle name="Normal 5 2 3 2 8" xfId="2580" xr:uid="{00000000-0005-0000-0000-000081180000}"/>
    <cellStyle name="Normal 5 2 3 2 8 2" xfId="6863" xr:uid="{00000000-0005-0000-0000-000082180000}"/>
    <cellStyle name="Normal 5 2 3 2 8 2 2" xfId="15313" xr:uid="{9BF8F0C9-A9B7-439C-9A59-686F84AF74F7}"/>
    <cellStyle name="Normal 5 2 3 2 8 3" xfId="11095" xr:uid="{B1567D66-8646-40E9-A696-740E689FF5F1}"/>
    <cellStyle name="Normal 5 2 3 2 9" xfId="4798" xr:uid="{00000000-0005-0000-0000-000083180000}"/>
    <cellStyle name="Normal 5 2 3 2 9 2" xfId="13248" xr:uid="{45031237-6C4A-4510-8C3F-27D788FD2111}"/>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4A53E39E-9724-4930-8FAF-8262A849A133}"/>
    <cellStyle name="Normal 5 2 3 3 2 2 2 3" xfId="11593" xr:uid="{C35BC1A7-7BB6-4117-A563-27F2A302B3DB}"/>
    <cellStyle name="Normal 5 2 3 3 2 2 3" xfId="5216" xr:uid="{00000000-0005-0000-0000-000089180000}"/>
    <cellStyle name="Normal 5 2 3 3 2 2 3 2" xfId="13666" xr:uid="{E9E533B2-3059-4D50-A20E-4FA882596A12}"/>
    <cellStyle name="Normal 5 2 3 3 2 2 4" xfId="9448" xr:uid="{80BA180D-2186-4789-8BAF-5773CED7511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13AEC661-E7B5-49CB-9406-1449FFEAACEE}"/>
    <cellStyle name="Normal 5 2 3 3 2 3 2 3" xfId="12006" xr:uid="{9B0B3CFA-46A7-4E46-956F-3B86F1A85BE5}"/>
    <cellStyle name="Normal 5 2 3 3 2 3 3" xfId="5629" xr:uid="{00000000-0005-0000-0000-00008D180000}"/>
    <cellStyle name="Normal 5 2 3 3 2 3 3 2" xfId="14079" xr:uid="{3F4A67A6-3A75-4CB5-BF79-9B86837A5885}"/>
    <cellStyle name="Normal 5 2 3 3 2 3 4" xfId="9861" xr:uid="{E4E66CF1-C1E1-4AA7-BB8E-0A178339BDB5}"/>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CDB5ED6B-56B6-4AF1-8CE5-D24657A84DF2}"/>
    <cellStyle name="Normal 5 2 3 3 2 4 2 3" xfId="12419" xr:uid="{4AC54797-95B0-4718-A031-A279C1CE791C}"/>
    <cellStyle name="Normal 5 2 3 3 2 4 3" xfId="6042" xr:uid="{00000000-0005-0000-0000-000091180000}"/>
    <cellStyle name="Normal 5 2 3 3 2 4 3 2" xfId="14492" xr:uid="{AE49D85A-878F-4A63-8FB6-E7DE478CAE69}"/>
    <cellStyle name="Normal 5 2 3 3 2 4 4" xfId="10274" xr:uid="{45B3E4F9-1060-4562-9932-FD06D4A48C47}"/>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E590F0BA-8C1C-40E9-810C-243F16620309}"/>
    <cellStyle name="Normal 5 2 3 3 2 5 2 3" xfId="12832" xr:uid="{969FA680-1521-4F59-8064-E29C10988751}"/>
    <cellStyle name="Normal 5 2 3 3 2 5 3" xfId="6455" xr:uid="{00000000-0005-0000-0000-000095180000}"/>
    <cellStyle name="Normal 5 2 3 3 2 5 3 2" xfId="14905" xr:uid="{9EB6D723-5DB4-4ACD-9B39-F60113B0913F}"/>
    <cellStyle name="Normal 5 2 3 3 2 5 4" xfId="10687" xr:uid="{1688037C-067F-492C-BE65-2473CB9097C3}"/>
    <cellStyle name="Normal 5 2 3 3 2 6" xfId="2585" xr:uid="{00000000-0005-0000-0000-000096180000}"/>
    <cellStyle name="Normal 5 2 3 3 2 6 2" xfId="6868" xr:uid="{00000000-0005-0000-0000-000097180000}"/>
    <cellStyle name="Normal 5 2 3 3 2 6 2 2" xfId="15318" xr:uid="{EBFC6A85-C4E4-4679-ACA5-69A2715BC1EA}"/>
    <cellStyle name="Normal 5 2 3 3 2 6 3" xfId="11100" xr:uid="{5D8774AF-6F3B-4C86-8A99-EEA5A0F1EA74}"/>
    <cellStyle name="Normal 5 2 3 3 2 7" xfId="4803" xr:uid="{00000000-0005-0000-0000-000098180000}"/>
    <cellStyle name="Normal 5 2 3 3 2 7 2" xfId="13253" xr:uid="{BCA715F9-A711-4A81-A046-B0384D0D721C}"/>
    <cellStyle name="Normal 5 2 3 3 2 8" xfId="9035" xr:uid="{9421AB60-2DA8-48B2-A1F1-89A6026FB1AC}"/>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208E06F-E30D-48EA-BCE4-CA3718A717BC}"/>
    <cellStyle name="Normal 5 2 3 3 3 2 3" xfId="11592" xr:uid="{800E90AA-2EED-4569-88E8-0626660ED01C}"/>
    <cellStyle name="Normal 5 2 3 3 3 3" xfId="5215" xr:uid="{00000000-0005-0000-0000-00009C180000}"/>
    <cellStyle name="Normal 5 2 3 3 3 3 2" xfId="13665" xr:uid="{10697DDD-6C5D-4B46-812B-140E1C8E970C}"/>
    <cellStyle name="Normal 5 2 3 3 3 4" xfId="9447" xr:uid="{D1CCB6A3-69B1-4674-AED9-710FA54DA524}"/>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0F17D2D9-F3AC-4780-96D7-FDDB2B6D7B56}"/>
    <cellStyle name="Normal 5 2 3 3 4 2 3" xfId="12005" xr:uid="{D624DC75-E58F-4070-B178-873798F715B9}"/>
    <cellStyle name="Normal 5 2 3 3 4 3" xfId="5628" xr:uid="{00000000-0005-0000-0000-0000A0180000}"/>
    <cellStyle name="Normal 5 2 3 3 4 3 2" xfId="14078" xr:uid="{66E0F08D-2AA4-43B4-848E-DF0B11A62F6D}"/>
    <cellStyle name="Normal 5 2 3 3 4 4" xfId="9860" xr:uid="{53B47B38-3C78-48F3-814D-72FD5E8D6F7C}"/>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E181E3F7-335A-414E-988B-A5D5A2C125A3}"/>
    <cellStyle name="Normal 5 2 3 3 5 2 3" xfId="12418" xr:uid="{C8BD6E1E-D7F1-44EB-B709-F532CD879E69}"/>
    <cellStyle name="Normal 5 2 3 3 5 3" xfId="6041" xr:uid="{00000000-0005-0000-0000-0000A4180000}"/>
    <cellStyle name="Normal 5 2 3 3 5 3 2" xfId="14491" xr:uid="{1811E186-4AC7-4F3C-842A-7855E390D4C2}"/>
    <cellStyle name="Normal 5 2 3 3 5 4" xfId="10273" xr:uid="{852784C9-5377-4707-BF78-FE02BA9A55F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D7C28289-4D6A-48A3-976E-F917F8A682F6}"/>
    <cellStyle name="Normal 5 2 3 3 6 2 3" xfId="12831" xr:uid="{2A18445F-A754-4931-A6CE-05777F838EA5}"/>
    <cellStyle name="Normal 5 2 3 3 6 3" xfId="6454" xr:uid="{00000000-0005-0000-0000-0000A8180000}"/>
    <cellStyle name="Normal 5 2 3 3 6 3 2" xfId="14904" xr:uid="{D3805C10-C1B7-4B96-9638-0C8011A11535}"/>
    <cellStyle name="Normal 5 2 3 3 6 4" xfId="10686" xr:uid="{310FBC3C-8ACD-41B7-B7AA-03B23E98578F}"/>
    <cellStyle name="Normal 5 2 3 3 7" xfId="2584" xr:uid="{00000000-0005-0000-0000-0000A9180000}"/>
    <cellStyle name="Normal 5 2 3 3 7 2" xfId="6867" xr:uid="{00000000-0005-0000-0000-0000AA180000}"/>
    <cellStyle name="Normal 5 2 3 3 7 2 2" xfId="15317" xr:uid="{CD8CC57F-7518-4297-AE9F-2DB717B1FF03}"/>
    <cellStyle name="Normal 5 2 3 3 7 3" xfId="11099" xr:uid="{5C705A77-D571-49F0-98A4-5CDA9509850F}"/>
    <cellStyle name="Normal 5 2 3 3 8" xfId="4802" xr:uid="{00000000-0005-0000-0000-0000AB180000}"/>
    <cellStyle name="Normal 5 2 3 3 8 2" xfId="13252" xr:uid="{B3EF02A1-E1B8-424E-A1E4-61C49BF5EE7C}"/>
    <cellStyle name="Normal 5 2 3 3 9" xfId="9034" xr:uid="{B1AE1607-8551-48EF-9CA5-93D980019C23}"/>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AA84E6A6-A5FB-4D0F-9BFD-CF6D0A8D53C6}"/>
    <cellStyle name="Normal 5 2 3 4 2 2 3" xfId="11594" xr:uid="{868A1138-CEC4-46D3-9C1A-36373B39E2A6}"/>
    <cellStyle name="Normal 5 2 3 4 2 3" xfId="5217" xr:uid="{00000000-0005-0000-0000-0000B0180000}"/>
    <cellStyle name="Normal 5 2 3 4 2 3 2" xfId="13667" xr:uid="{041EB2D4-C989-439A-938E-7D4E32D79C04}"/>
    <cellStyle name="Normal 5 2 3 4 2 4" xfId="9449" xr:uid="{FCB150B8-A024-4F99-A460-CE36515ABAAA}"/>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3BF6CD39-445A-4206-AD37-40B017CC4501}"/>
    <cellStyle name="Normal 5 2 3 4 3 2 3" xfId="12007" xr:uid="{E83D24B2-30B5-4900-BBF0-7F98257CA48A}"/>
    <cellStyle name="Normal 5 2 3 4 3 3" xfId="5630" xr:uid="{00000000-0005-0000-0000-0000B4180000}"/>
    <cellStyle name="Normal 5 2 3 4 3 3 2" xfId="14080" xr:uid="{2BA58C3D-A531-4AB0-9744-0549DDB42BDA}"/>
    <cellStyle name="Normal 5 2 3 4 3 4" xfId="9862" xr:uid="{EAF75CDA-676C-4A47-8F92-434D7AEDD54C}"/>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DFA2AE95-9F32-4611-AD90-6A65BC4A4985}"/>
    <cellStyle name="Normal 5 2 3 4 4 2 3" xfId="12420" xr:uid="{84B3C452-1A4F-492D-9B52-54017C15FBAD}"/>
    <cellStyle name="Normal 5 2 3 4 4 3" xfId="6043" xr:uid="{00000000-0005-0000-0000-0000B8180000}"/>
    <cellStyle name="Normal 5 2 3 4 4 3 2" xfId="14493" xr:uid="{F73A26D1-7198-4D63-A557-4739F547096A}"/>
    <cellStyle name="Normal 5 2 3 4 4 4" xfId="10275" xr:uid="{3BF13196-FCEC-421C-960A-767D4B9D2CFB}"/>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5FD81AAF-A9DE-423D-BC6A-032ABA8D2A6D}"/>
    <cellStyle name="Normal 5 2 3 4 5 2 3" xfId="12833" xr:uid="{3589A067-8E86-4689-836C-70F6EC173A70}"/>
    <cellStyle name="Normal 5 2 3 4 5 3" xfId="6456" xr:uid="{00000000-0005-0000-0000-0000BC180000}"/>
    <cellStyle name="Normal 5 2 3 4 5 3 2" xfId="14906" xr:uid="{5AC6688B-B6BE-4F1B-88BE-996E3D76C8B3}"/>
    <cellStyle name="Normal 5 2 3 4 5 4" xfId="10688" xr:uid="{63E82EC8-64FA-429A-8B85-61F1BAF8A484}"/>
    <cellStyle name="Normal 5 2 3 4 6" xfId="2586" xr:uid="{00000000-0005-0000-0000-0000BD180000}"/>
    <cellStyle name="Normal 5 2 3 4 6 2" xfId="6869" xr:uid="{00000000-0005-0000-0000-0000BE180000}"/>
    <cellStyle name="Normal 5 2 3 4 6 2 2" xfId="15319" xr:uid="{09261DAF-B7AD-4E9D-8ACD-0E3084B8754F}"/>
    <cellStyle name="Normal 5 2 3 4 6 3" xfId="11101" xr:uid="{082E2813-7058-4D4E-A09A-D3CF043E24BD}"/>
    <cellStyle name="Normal 5 2 3 4 7" xfId="4804" xr:uid="{00000000-0005-0000-0000-0000BF180000}"/>
    <cellStyle name="Normal 5 2 3 4 7 2" xfId="13254" xr:uid="{3F5E8FB6-3849-4FCE-A92A-A8E13033FF8C}"/>
    <cellStyle name="Normal 5 2 3 4 8" xfId="9036" xr:uid="{3DA8F3D9-9859-4CA4-84B1-5E32804B944E}"/>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AD922BE-3476-4535-A2F7-BA2E63A56224}"/>
    <cellStyle name="Normal 5 2 3 5 2 3" xfId="11587" xr:uid="{01AEB853-EAAD-4975-B696-CCD319969149}"/>
    <cellStyle name="Normal 5 2 3 5 3" xfId="5210" xr:uid="{00000000-0005-0000-0000-0000C3180000}"/>
    <cellStyle name="Normal 5 2 3 5 3 2" xfId="13660" xr:uid="{DA336293-5994-4424-BD15-4FAABA5E6C78}"/>
    <cellStyle name="Normal 5 2 3 5 4" xfId="9442" xr:uid="{C4A182CB-71B0-4B12-8B93-A15E2149D97D}"/>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85880FF8-F818-4232-B808-B7E9E86C59FD}"/>
    <cellStyle name="Normal 5 2 3 6 2 3" xfId="12000" xr:uid="{1A116FB2-7AEE-4EE4-8C50-28D5C4892C2E}"/>
    <cellStyle name="Normal 5 2 3 6 3" xfId="5623" xr:uid="{00000000-0005-0000-0000-0000C7180000}"/>
    <cellStyle name="Normal 5 2 3 6 3 2" xfId="14073" xr:uid="{BFAE6E41-4668-4233-B638-AC34690CFFC6}"/>
    <cellStyle name="Normal 5 2 3 6 4" xfId="9855" xr:uid="{5F69460A-CAA8-4A98-B5DB-D84187DE5B99}"/>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25E9F783-3075-44B0-AC02-050AF7FA02CA}"/>
    <cellStyle name="Normal 5 2 3 7 2 3" xfId="12413" xr:uid="{8E4525C5-8B52-431A-884A-FEC80E5D8175}"/>
    <cellStyle name="Normal 5 2 3 7 3" xfId="6036" xr:uid="{00000000-0005-0000-0000-0000CB180000}"/>
    <cellStyle name="Normal 5 2 3 7 3 2" xfId="14486" xr:uid="{983FAF92-643F-4D83-850E-E3656C94DB09}"/>
    <cellStyle name="Normal 5 2 3 7 4" xfId="10268" xr:uid="{6B717760-ED5F-4C42-9D6C-CB673E5D46C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8BC95C53-5B72-446C-8F7C-D6AB485F1940}"/>
    <cellStyle name="Normal 5 2 3 8 2 3" xfId="12826" xr:uid="{A5B54BE0-55FF-4BFC-9057-0929A4085BA2}"/>
    <cellStyle name="Normal 5 2 3 8 3" xfId="6449" xr:uid="{00000000-0005-0000-0000-0000CF180000}"/>
    <cellStyle name="Normal 5 2 3 8 3 2" xfId="14899" xr:uid="{2776FDE6-E8ED-48A1-98AE-EEA4F5B221B7}"/>
    <cellStyle name="Normal 5 2 3 8 4" xfId="10681" xr:uid="{91606462-4482-4F7D-9B08-740D9113AFAE}"/>
    <cellStyle name="Normal 5 2 3 9" xfId="2579" xr:uid="{00000000-0005-0000-0000-0000D0180000}"/>
    <cellStyle name="Normal 5 2 3 9 2" xfId="6862" xr:uid="{00000000-0005-0000-0000-0000D1180000}"/>
    <cellStyle name="Normal 5 2 3 9 2 2" xfId="15312" xr:uid="{426B5913-001B-4011-894E-F97168CAAF04}"/>
    <cellStyle name="Normal 5 2 3 9 3" xfId="11094" xr:uid="{530DAA73-F2B7-47ED-B30C-0C9F9C8D6371}"/>
    <cellStyle name="Normal 5 2 4" xfId="432" xr:uid="{00000000-0005-0000-0000-0000D2180000}"/>
    <cellStyle name="Normal 5 2 4 10" xfId="9037" xr:uid="{D250AEE6-42EE-47C0-8484-00CE4EC33FB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750931FB-D2FB-40A8-86A3-39119870DF4C}"/>
    <cellStyle name="Normal 5 2 4 2 2 2 2 3" xfId="11597" xr:uid="{64FD42E7-BD85-4403-98E8-978ECFE8435B}"/>
    <cellStyle name="Normal 5 2 4 2 2 2 3" xfId="5220" xr:uid="{00000000-0005-0000-0000-0000D8180000}"/>
    <cellStyle name="Normal 5 2 4 2 2 2 3 2" xfId="13670" xr:uid="{A35308F5-01EA-4060-BBF7-B1D720C542C5}"/>
    <cellStyle name="Normal 5 2 4 2 2 2 4" xfId="9452" xr:uid="{FF99B7B3-BB8E-496A-B92D-CC8A2A08DD9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5E957502-E008-496E-98FC-92FE52B061A5}"/>
    <cellStyle name="Normal 5 2 4 2 2 3 2 3" xfId="12010" xr:uid="{8CCCAA55-E184-4E7B-9F9C-7EEB5A7ABC56}"/>
    <cellStyle name="Normal 5 2 4 2 2 3 3" xfId="5633" xr:uid="{00000000-0005-0000-0000-0000DC180000}"/>
    <cellStyle name="Normal 5 2 4 2 2 3 3 2" xfId="14083" xr:uid="{7B45C01B-4085-4665-BF0E-63325D231F52}"/>
    <cellStyle name="Normal 5 2 4 2 2 3 4" xfId="9865" xr:uid="{634ACCC9-E300-4F2B-84A2-7143462CA50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0E6E40D5-AE77-4389-9D9F-2E2A9C678C9B}"/>
    <cellStyle name="Normal 5 2 4 2 2 4 2 3" xfId="12423" xr:uid="{F097670D-6A9E-466A-B094-C43CD781D7A4}"/>
    <cellStyle name="Normal 5 2 4 2 2 4 3" xfId="6046" xr:uid="{00000000-0005-0000-0000-0000E0180000}"/>
    <cellStyle name="Normal 5 2 4 2 2 4 3 2" xfId="14496" xr:uid="{BA375A47-D0CF-4EDF-9FA6-49F887FC38FF}"/>
    <cellStyle name="Normal 5 2 4 2 2 4 4" xfId="10278" xr:uid="{B1FF14E4-AF1A-4E9E-B348-F51CF381BD5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47684BE3-2242-422B-B2C7-ACA510D503D0}"/>
    <cellStyle name="Normal 5 2 4 2 2 5 2 3" xfId="12836" xr:uid="{81F7533E-B200-4AE5-B32E-30E4F08A7F6C}"/>
    <cellStyle name="Normal 5 2 4 2 2 5 3" xfId="6459" xr:uid="{00000000-0005-0000-0000-0000E4180000}"/>
    <cellStyle name="Normal 5 2 4 2 2 5 3 2" xfId="14909" xr:uid="{E46F1EEB-B5CE-4BBB-9B09-4DFAD1B52147}"/>
    <cellStyle name="Normal 5 2 4 2 2 5 4" xfId="10691" xr:uid="{C392498B-E7DD-4E24-96F0-567A5CE42908}"/>
    <cellStyle name="Normal 5 2 4 2 2 6" xfId="2589" xr:uid="{00000000-0005-0000-0000-0000E5180000}"/>
    <cellStyle name="Normal 5 2 4 2 2 6 2" xfId="6872" xr:uid="{00000000-0005-0000-0000-0000E6180000}"/>
    <cellStyle name="Normal 5 2 4 2 2 6 2 2" xfId="15322" xr:uid="{3A16FB46-1400-4988-96CF-043C2B1C8884}"/>
    <cellStyle name="Normal 5 2 4 2 2 6 3" xfId="11104" xr:uid="{26852281-87FB-4F61-9754-66048069C46A}"/>
    <cellStyle name="Normal 5 2 4 2 2 7" xfId="4807" xr:uid="{00000000-0005-0000-0000-0000E7180000}"/>
    <cellStyle name="Normal 5 2 4 2 2 7 2" xfId="13257" xr:uid="{54231FCF-8E20-454B-8059-C566102D3F12}"/>
    <cellStyle name="Normal 5 2 4 2 2 8" xfId="9039" xr:uid="{626052DD-FABC-4565-ACC6-16E6652AFEA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FBDEACAE-1990-4566-8FAE-6DA6A59D4257}"/>
    <cellStyle name="Normal 5 2 4 2 3 2 3" xfId="11596" xr:uid="{856FDECA-FBBC-4AED-8342-8174A9D02EFA}"/>
    <cellStyle name="Normal 5 2 4 2 3 3" xfId="5219" xr:uid="{00000000-0005-0000-0000-0000EB180000}"/>
    <cellStyle name="Normal 5 2 4 2 3 3 2" xfId="13669" xr:uid="{9EB862F7-600D-40F3-A08C-B104250E8BDA}"/>
    <cellStyle name="Normal 5 2 4 2 3 4" xfId="9451" xr:uid="{A625365E-50FF-4C9A-8E5C-6502320F7B2B}"/>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B7425B05-15EE-4A43-9136-F877D55C7801}"/>
    <cellStyle name="Normal 5 2 4 2 4 2 3" xfId="12009" xr:uid="{49B37283-C252-4C53-A263-73C057248E89}"/>
    <cellStyle name="Normal 5 2 4 2 4 3" xfId="5632" xr:uid="{00000000-0005-0000-0000-0000EF180000}"/>
    <cellStyle name="Normal 5 2 4 2 4 3 2" xfId="14082" xr:uid="{9ACEF2DA-1F73-4130-AB69-DCEF1B4BD188}"/>
    <cellStyle name="Normal 5 2 4 2 4 4" xfId="9864" xr:uid="{BA9477DA-56F2-44A4-A6EC-C5D8DA570E2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21749A2E-BD8A-4F26-873F-FFA84FA4C191}"/>
    <cellStyle name="Normal 5 2 4 2 5 2 3" xfId="12422" xr:uid="{CE80FA8A-DFF9-4606-9F64-347F4EDDE7C0}"/>
    <cellStyle name="Normal 5 2 4 2 5 3" xfId="6045" xr:uid="{00000000-0005-0000-0000-0000F3180000}"/>
    <cellStyle name="Normal 5 2 4 2 5 3 2" xfId="14495" xr:uid="{EEEAE7D7-8D17-4F27-B27E-CF95606152D2}"/>
    <cellStyle name="Normal 5 2 4 2 5 4" xfId="10277" xr:uid="{54F1C3C4-F6A3-4CBE-8929-E8E510AA8EC8}"/>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1F9CB941-0CB1-4696-8047-BABA2B653E10}"/>
    <cellStyle name="Normal 5 2 4 2 6 2 3" xfId="12835" xr:uid="{5FD456CE-0270-4A3D-A9D8-B809550D401B}"/>
    <cellStyle name="Normal 5 2 4 2 6 3" xfId="6458" xr:uid="{00000000-0005-0000-0000-0000F7180000}"/>
    <cellStyle name="Normal 5 2 4 2 6 3 2" xfId="14908" xr:uid="{0004FAFE-0BA1-460F-B7B8-9F06B8A7E08C}"/>
    <cellStyle name="Normal 5 2 4 2 6 4" xfId="10690" xr:uid="{26E2A99A-905B-4FF8-BC19-F1E4752DF22C}"/>
    <cellStyle name="Normal 5 2 4 2 7" xfId="2588" xr:uid="{00000000-0005-0000-0000-0000F8180000}"/>
    <cellStyle name="Normal 5 2 4 2 7 2" xfId="6871" xr:uid="{00000000-0005-0000-0000-0000F9180000}"/>
    <cellStyle name="Normal 5 2 4 2 7 2 2" xfId="15321" xr:uid="{00B910CE-0284-4376-8ED5-3324EB0DB268}"/>
    <cellStyle name="Normal 5 2 4 2 7 3" xfId="11103" xr:uid="{C09D21ED-944C-4DCB-A050-C8F25B4C1798}"/>
    <cellStyle name="Normal 5 2 4 2 8" xfId="4806" xr:uid="{00000000-0005-0000-0000-0000FA180000}"/>
    <cellStyle name="Normal 5 2 4 2 8 2" xfId="13256" xr:uid="{EAB6033B-6136-4209-9CD7-743F0C6EED42}"/>
    <cellStyle name="Normal 5 2 4 2 9" xfId="9038" xr:uid="{A1C36E50-FE9F-4E87-B048-01A5AFDFC45B}"/>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E400909A-C227-4BBE-B110-B70D7941F0C0}"/>
    <cellStyle name="Normal 5 2 4 3 2 2 3" xfId="11598" xr:uid="{96EF6D4A-6329-4EB0-8720-E31EAE4D070D}"/>
    <cellStyle name="Normal 5 2 4 3 2 3" xfId="5221" xr:uid="{00000000-0005-0000-0000-0000FF180000}"/>
    <cellStyle name="Normal 5 2 4 3 2 3 2" xfId="13671" xr:uid="{E5A676D6-94D1-4D9A-B07B-15F5BEFBDF85}"/>
    <cellStyle name="Normal 5 2 4 3 2 4" xfId="9453" xr:uid="{40C960CB-FA57-427C-97B8-23CD1B0EC402}"/>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19639D6B-6E76-4D40-B9CF-7B2F6F80F714}"/>
    <cellStyle name="Normal 5 2 4 3 3 2 3" xfId="12011" xr:uid="{AD86C456-C1D1-400C-A864-1A23544CED2D}"/>
    <cellStyle name="Normal 5 2 4 3 3 3" xfId="5634" xr:uid="{00000000-0005-0000-0000-000003190000}"/>
    <cellStyle name="Normal 5 2 4 3 3 3 2" xfId="14084" xr:uid="{455D2F5B-56DF-434A-977E-8FCA276C3701}"/>
    <cellStyle name="Normal 5 2 4 3 3 4" xfId="9866" xr:uid="{7770F6A2-54A8-40BB-82C7-4A7655DFB81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68BE70D8-21A4-4215-AF5D-C83AB44BF9F0}"/>
    <cellStyle name="Normal 5 2 4 3 4 2 3" xfId="12424" xr:uid="{A0D8DB7D-2974-47A3-A7CF-F7569EB2AD31}"/>
    <cellStyle name="Normal 5 2 4 3 4 3" xfId="6047" xr:uid="{00000000-0005-0000-0000-000007190000}"/>
    <cellStyle name="Normal 5 2 4 3 4 3 2" xfId="14497" xr:uid="{052B2092-FD9C-4DF4-9310-7504BC61207E}"/>
    <cellStyle name="Normal 5 2 4 3 4 4" xfId="10279" xr:uid="{AA194F71-F797-4D55-A9D1-6BEA3A95B8E2}"/>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7D5E6E46-4A43-45AE-9C38-EB54CC9C9849}"/>
    <cellStyle name="Normal 5 2 4 3 5 2 3" xfId="12837" xr:uid="{9EF9F2DB-D421-4789-BC4D-31258709A458}"/>
    <cellStyle name="Normal 5 2 4 3 5 3" xfId="6460" xr:uid="{00000000-0005-0000-0000-00000B190000}"/>
    <cellStyle name="Normal 5 2 4 3 5 3 2" xfId="14910" xr:uid="{5FE56B04-692B-4869-8538-AD929C28AB09}"/>
    <cellStyle name="Normal 5 2 4 3 5 4" xfId="10692" xr:uid="{695ED346-B26B-482B-BE87-28D70E087B23}"/>
    <cellStyle name="Normal 5 2 4 3 6" xfId="2590" xr:uid="{00000000-0005-0000-0000-00000C190000}"/>
    <cellStyle name="Normal 5 2 4 3 6 2" xfId="6873" xr:uid="{00000000-0005-0000-0000-00000D190000}"/>
    <cellStyle name="Normal 5 2 4 3 6 2 2" xfId="15323" xr:uid="{38DE62E6-B6DD-4BDF-84DB-B1F12299BD96}"/>
    <cellStyle name="Normal 5 2 4 3 6 3" xfId="11105" xr:uid="{3504C1D2-66CA-40FF-888B-6CBC25B31A4B}"/>
    <cellStyle name="Normal 5 2 4 3 7" xfId="4808" xr:uid="{00000000-0005-0000-0000-00000E190000}"/>
    <cellStyle name="Normal 5 2 4 3 7 2" xfId="13258" xr:uid="{4651064C-35B1-4A7E-B57A-6114768919B8}"/>
    <cellStyle name="Normal 5 2 4 3 8" xfId="9040" xr:uid="{DE4AEA34-2D87-47A9-A2F8-27CBB47664F6}"/>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B0C0F24C-E638-4C34-B3D1-1FC1BAEDAA49}"/>
    <cellStyle name="Normal 5 2 4 4 2 3" xfId="11595" xr:uid="{1051979F-D5D5-40FF-BFAE-B0F9667164D8}"/>
    <cellStyle name="Normal 5 2 4 4 3" xfId="5218" xr:uid="{00000000-0005-0000-0000-000012190000}"/>
    <cellStyle name="Normal 5 2 4 4 3 2" xfId="13668" xr:uid="{683E80E6-F5F0-400E-94CD-15477AC39C97}"/>
    <cellStyle name="Normal 5 2 4 4 4" xfId="9450" xr:uid="{79EE3D54-755B-4C02-8847-3C58DBBD42EA}"/>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5A565C41-BDC9-4107-B803-353353665529}"/>
    <cellStyle name="Normal 5 2 4 5 2 3" xfId="12008" xr:uid="{36B7DA0F-C05C-4571-B083-22A78EB8BBC9}"/>
    <cellStyle name="Normal 5 2 4 5 3" xfId="5631" xr:uid="{00000000-0005-0000-0000-000016190000}"/>
    <cellStyle name="Normal 5 2 4 5 3 2" xfId="14081" xr:uid="{F89B9D73-AD18-4C13-8E8C-1B14F3DE70B7}"/>
    <cellStyle name="Normal 5 2 4 5 4" xfId="9863" xr:uid="{0648A0F3-E110-4924-9493-36641908494C}"/>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756C8DB6-A341-4EB7-9E5E-265AAD73FDAF}"/>
    <cellStyle name="Normal 5 2 4 6 2 3" xfId="12421" xr:uid="{1A57DF7B-5176-4C05-81D5-18C9C557236A}"/>
    <cellStyle name="Normal 5 2 4 6 3" xfId="6044" xr:uid="{00000000-0005-0000-0000-00001A190000}"/>
    <cellStyle name="Normal 5 2 4 6 3 2" xfId="14494" xr:uid="{AA538C44-0B48-499F-979C-982EAC9B2C42}"/>
    <cellStyle name="Normal 5 2 4 6 4" xfId="10276" xr:uid="{8A03EB9E-4B13-41E3-8195-AAC46F5C2CF6}"/>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33FD4B32-9060-415E-A075-1F446A69E6BE}"/>
    <cellStyle name="Normal 5 2 4 7 2 3" xfId="12834" xr:uid="{EB7ABABC-0842-4F5B-9379-2C31D20275A0}"/>
    <cellStyle name="Normal 5 2 4 7 3" xfId="6457" xr:uid="{00000000-0005-0000-0000-00001E190000}"/>
    <cellStyle name="Normal 5 2 4 7 3 2" xfId="14907" xr:uid="{E13A9F4D-14F8-403C-94E6-1ABBBFCFEFF5}"/>
    <cellStyle name="Normal 5 2 4 7 4" xfId="10689" xr:uid="{68E04BDC-4588-410D-81FF-06E111B9C57D}"/>
    <cellStyle name="Normal 5 2 4 8" xfId="2587" xr:uid="{00000000-0005-0000-0000-00001F190000}"/>
    <cellStyle name="Normal 5 2 4 8 2" xfId="6870" xr:uid="{00000000-0005-0000-0000-000020190000}"/>
    <cellStyle name="Normal 5 2 4 8 2 2" xfId="15320" xr:uid="{D9D5ACA2-8724-477C-8BDA-7D8321C56476}"/>
    <cellStyle name="Normal 5 2 4 8 3" xfId="11102" xr:uid="{872F7346-6F63-450A-87DC-0CB8FFCE8050}"/>
    <cellStyle name="Normal 5 2 4 9" xfId="4805" xr:uid="{00000000-0005-0000-0000-000021190000}"/>
    <cellStyle name="Normal 5 2 4 9 2" xfId="13255" xr:uid="{1E70D815-680A-4AF9-B088-C1116E5B76D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EFE80498-282A-4ADF-B58B-D74E4447E1CC}"/>
    <cellStyle name="Normal 5 2 5 2 2 2 3" xfId="11600" xr:uid="{5E9C8B70-79C7-4926-8F06-EFC483BDFD11}"/>
    <cellStyle name="Normal 5 2 5 2 2 3" xfId="5223" xr:uid="{00000000-0005-0000-0000-000027190000}"/>
    <cellStyle name="Normal 5 2 5 2 2 3 2" xfId="13673" xr:uid="{DA511AF8-D064-46DF-B8AB-09B6B4545C7C}"/>
    <cellStyle name="Normal 5 2 5 2 2 4" xfId="9455" xr:uid="{4E78322E-ABBC-446C-B888-075D03B650E7}"/>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DBC63300-DE67-49F3-BA76-907F9EF0C8B8}"/>
    <cellStyle name="Normal 5 2 5 2 3 2 3" xfId="12013" xr:uid="{2BE5F6BE-F0C6-47FB-8EF8-39805F71CB6A}"/>
    <cellStyle name="Normal 5 2 5 2 3 3" xfId="5636" xr:uid="{00000000-0005-0000-0000-00002B190000}"/>
    <cellStyle name="Normal 5 2 5 2 3 3 2" xfId="14086" xr:uid="{CC881CF0-1E2E-47F8-8954-0ACAF23DBF45}"/>
    <cellStyle name="Normal 5 2 5 2 3 4" xfId="9868" xr:uid="{7C3C44F0-6B55-4423-86F9-4D9E8D2C1A6A}"/>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621363F2-4343-467A-8E1F-0AC105B3E997}"/>
    <cellStyle name="Normal 5 2 5 2 4 2 3" xfId="12426" xr:uid="{8D9B445A-772F-4A6C-9ED3-3C52D1419E45}"/>
    <cellStyle name="Normal 5 2 5 2 4 3" xfId="6049" xr:uid="{00000000-0005-0000-0000-00002F190000}"/>
    <cellStyle name="Normal 5 2 5 2 4 3 2" xfId="14499" xr:uid="{6F03D41A-58EF-4BBF-9773-4F1AF61C8759}"/>
    <cellStyle name="Normal 5 2 5 2 4 4" xfId="10281" xr:uid="{63C7C56F-689F-445F-9030-225480286747}"/>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5112AEEC-2693-4E6C-8991-BFF4C62E528A}"/>
    <cellStyle name="Normal 5 2 5 2 5 2 3" xfId="12839" xr:uid="{6DD34AF5-5647-4730-A20C-876E35BAE904}"/>
    <cellStyle name="Normal 5 2 5 2 5 3" xfId="6462" xr:uid="{00000000-0005-0000-0000-000033190000}"/>
    <cellStyle name="Normal 5 2 5 2 5 3 2" xfId="14912" xr:uid="{36E3B964-4D94-421E-9D47-22039E7BE476}"/>
    <cellStyle name="Normal 5 2 5 2 5 4" xfId="10694" xr:uid="{434C085A-B28F-4E0F-B517-492829B67DF3}"/>
    <cellStyle name="Normal 5 2 5 2 6" xfId="2592" xr:uid="{00000000-0005-0000-0000-000034190000}"/>
    <cellStyle name="Normal 5 2 5 2 6 2" xfId="6875" xr:uid="{00000000-0005-0000-0000-000035190000}"/>
    <cellStyle name="Normal 5 2 5 2 6 2 2" xfId="15325" xr:uid="{1DB2D113-828B-4BCD-88A9-5C2B843A9B1B}"/>
    <cellStyle name="Normal 5 2 5 2 6 3" xfId="11107" xr:uid="{B452FCFD-BE4B-413D-97A8-362E1072CFF2}"/>
    <cellStyle name="Normal 5 2 5 2 7" xfId="4810" xr:uid="{00000000-0005-0000-0000-000036190000}"/>
    <cellStyle name="Normal 5 2 5 2 7 2" xfId="13260" xr:uid="{7C3CAEFA-27F1-4C64-ADFB-D70EB886AE98}"/>
    <cellStyle name="Normal 5 2 5 2 8" xfId="9042" xr:uid="{44627DC1-4E71-4434-A815-F3DE29DD7B13}"/>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D4B753CC-7F5F-4888-96B0-2110B5C319B7}"/>
    <cellStyle name="Normal 5 2 5 3 2 3" xfId="11599" xr:uid="{E86D31F7-96DF-4D6D-956F-F44736655913}"/>
    <cellStyle name="Normal 5 2 5 3 3" xfId="5222" xr:uid="{00000000-0005-0000-0000-00003A190000}"/>
    <cellStyle name="Normal 5 2 5 3 3 2" xfId="13672" xr:uid="{D6B32030-5B2C-4AF8-B564-49881F7EB26F}"/>
    <cellStyle name="Normal 5 2 5 3 4" xfId="9454" xr:uid="{E34717D7-2BD4-451D-95AA-01477A1340CB}"/>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7EB76FFF-280C-4C28-A4D4-956F4DAE8292}"/>
    <cellStyle name="Normal 5 2 5 4 2 3" xfId="12012" xr:uid="{01FC3E2E-CACD-4221-BFAF-C6A914D6A425}"/>
    <cellStyle name="Normal 5 2 5 4 3" xfId="5635" xr:uid="{00000000-0005-0000-0000-00003E190000}"/>
    <cellStyle name="Normal 5 2 5 4 3 2" xfId="14085" xr:uid="{852F25B6-69B9-49E4-B1D1-305192D37150}"/>
    <cellStyle name="Normal 5 2 5 4 4" xfId="9867" xr:uid="{B8B1D861-8950-4EEF-BDA9-871619BBD5F4}"/>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A86A216A-1946-418E-888A-B84BEF717314}"/>
    <cellStyle name="Normal 5 2 5 5 2 3" xfId="12425" xr:uid="{EFB6491F-A730-4C7F-8BAA-F710672FD6FB}"/>
    <cellStyle name="Normal 5 2 5 5 3" xfId="6048" xr:uid="{00000000-0005-0000-0000-000042190000}"/>
    <cellStyle name="Normal 5 2 5 5 3 2" xfId="14498" xr:uid="{F144624F-B8F8-4B3F-947B-08AB2151F949}"/>
    <cellStyle name="Normal 5 2 5 5 4" xfId="10280" xr:uid="{86C1DF03-C8F7-4771-A96B-DF57A1F5D70B}"/>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600325F0-05BA-439E-8401-102342575BDE}"/>
    <cellStyle name="Normal 5 2 5 6 2 3" xfId="12838" xr:uid="{D1D22A8D-A747-44F0-9F2C-3C624FF1C704}"/>
    <cellStyle name="Normal 5 2 5 6 3" xfId="6461" xr:uid="{00000000-0005-0000-0000-000046190000}"/>
    <cellStyle name="Normal 5 2 5 6 3 2" xfId="14911" xr:uid="{5EFC086E-FFBA-4BB1-B7DC-A069E37C7AD2}"/>
    <cellStyle name="Normal 5 2 5 6 4" xfId="10693" xr:uid="{64DB7FF6-023D-46E9-9649-3B6F27031807}"/>
    <cellStyle name="Normal 5 2 5 7" xfId="2591" xr:uid="{00000000-0005-0000-0000-000047190000}"/>
    <cellStyle name="Normal 5 2 5 7 2" xfId="6874" xr:uid="{00000000-0005-0000-0000-000048190000}"/>
    <cellStyle name="Normal 5 2 5 7 2 2" xfId="15324" xr:uid="{5F1B4F68-7E9A-45BF-8506-18FA5F7D7879}"/>
    <cellStyle name="Normal 5 2 5 7 3" xfId="11106" xr:uid="{F4CC801F-1342-4E05-8D49-64EF7904F9C9}"/>
    <cellStyle name="Normal 5 2 5 8" xfId="4809" xr:uid="{00000000-0005-0000-0000-000049190000}"/>
    <cellStyle name="Normal 5 2 5 8 2" xfId="13259" xr:uid="{1E98360D-DFA6-4D8E-96EC-71CD07B40E71}"/>
    <cellStyle name="Normal 5 2 5 9" xfId="9041" xr:uid="{ECCC9D17-AAE0-4E56-AC4D-4DB916249C86}"/>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5AD53A47-C13C-4490-BA3D-CA036035840A}"/>
    <cellStyle name="Normal 5 2 6 2 2 3" xfId="11601" xr:uid="{2305BB99-BE59-42ED-9199-9D59C44A51DC}"/>
    <cellStyle name="Normal 5 2 6 2 3" xfId="5224" xr:uid="{00000000-0005-0000-0000-00004E190000}"/>
    <cellStyle name="Normal 5 2 6 2 3 2" xfId="13674" xr:uid="{770139F8-3F09-42E4-9AD0-8C4EC736D766}"/>
    <cellStyle name="Normal 5 2 6 2 4" xfId="9456" xr:uid="{F71DB5A3-C6A4-4315-B721-A09E42710BEE}"/>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B5EAEA22-59B4-4408-A762-41472A3615B2}"/>
    <cellStyle name="Normal 5 2 6 3 2 3" xfId="12014" xr:uid="{B05D15E2-C7A0-4F36-BCD4-AD7A53D8675F}"/>
    <cellStyle name="Normal 5 2 6 3 3" xfId="5637" xr:uid="{00000000-0005-0000-0000-000052190000}"/>
    <cellStyle name="Normal 5 2 6 3 3 2" xfId="14087" xr:uid="{3956CA41-3E6E-44C7-871F-3BDB1FCC77EC}"/>
    <cellStyle name="Normal 5 2 6 3 4" xfId="9869" xr:uid="{78492C77-B62B-49EA-90B9-CECD0362F10D}"/>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7C9D7307-196C-4CB5-8F4E-1705C19DBC9D}"/>
    <cellStyle name="Normal 5 2 6 4 2 3" xfId="12427" xr:uid="{59C670B1-9EB1-4785-8197-6B090F88D3DC}"/>
    <cellStyle name="Normal 5 2 6 4 3" xfId="6050" xr:uid="{00000000-0005-0000-0000-000056190000}"/>
    <cellStyle name="Normal 5 2 6 4 3 2" xfId="14500" xr:uid="{B21A73FB-7C1F-4155-B8BE-9191CD4364C9}"/>
    <cellStyle name="Normal 5 2 6 4 4" xfId="10282" xr:uid="{2DE8A3A2-6F61-4C58-93AF-0C694C88C067}"/>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D6EE4A41-8142-4A4E-B71E-284B03E83E15}"/>
    <cellStyle name="Normal 5 2 6 5 2 3" xfId="12840" xr:uid="{C85ABFE5-415A-4969-8E9A-765912E056D1}"/>
    <cellStyle name="Normal 5 2 6 5 3" xfId="6463" xr:uid="{00000000-0005-0000-0000-00005A190000}"/>
    <cellStyle name="Normal 5 2 6 5 3 2" xfId="14913" xr:uid="{21DDCC03-C692-40B2-B20C-62D507353A1C}"/>
    <cellStyle name="Normal 5 2 6 5 4" xfId="10695" xr:uid="{E89D138B-3178-4DAA-AD4D-1539A1CADA93}"/>
    <cellStyle name="Normal 5 2 6 6" xfId="2593" xr:uid="{00000000-0005-0000-0000-00005B190000}"/>
    <cellStyle name="Normal 5 2 6 6 2" xfId="6876" xr:uid="{00000000-0005-0000-0000-00005C190000}"/>
    <cellStyle name="Normal 5 2 6 6 2 2" xfId="15326" xr:uid="{F3E3CA7B-1B25-44B1-82A9-EBE2316C5650}"/>
    <cellStyle name="Normal 5 2 6 6 3" xfId="11108" xr:uid="{9BB9C494-2999-43B0-A512-DD26EE7FB343}"/>
    <cellStyle name="Normal 5 2 6 7" xfId="4811" xr:uid="{00000000-0005-0000-0000-00005D190000}"/>
    <cellStyle name="Normal 5 2 6 7 2" xfId="13261" xr:uid="{EE6C966A-F3BD-4D27-830B-6C852C47C5A5}"/>
    <cellStyle name="Normal 5 2 6 8" xfId="9043" xr:uid="{43DE4E50-AC8F-4CD5-B90C-ED77DB35068E}"/>
    <cellStyle name="Normal 5 2 7" xfId="881" xr:uid="{00000000-0005-0000-0000-00005E190000}"/>
    <cellStyle name="Normal 5 2 7 2" xfId="3116" xr:uid="{00000000-0005-0000-0000-00005F190000}"/>
    <cellStyle name="Normal 5 2 7 2 2" xfId="7338" xr:uid="{00000000-0005-0000-0000-000060190000}"/>
    <cellStyle name="Normal 5 2 7 2 2 2" xfId="15788" xr:uid="{5880B940-B0A9-4885-8F05-77B25EA82CB8}"/>
    <cellStyle name="Normal 5 2 7 2 3" xfId="11570" xr:uid="{5765CAC1-F8C9-40DA-835C-CFF9F9B1AEA8}"/>
    <cellStyle name="Normal 5 2 7 3" xfId="5193" xr:uid="{00000000-0005-0000-0000-000061190000}"/>
    <cellStyle name="Normal 5 2 7 3 2" xfId="13643" xr:uid="{7973994A-28F7-4B11-AD28-0D1C549E4590}"/>
    <cellStyle name="Normal 5 2 7 4" xfId="9425" xr:uid="{FFAF7D33-34E8-49A9-AA7B-5A47344E86A8}"/>
    <cellStyle name="Normal 5 2 8" xfId="1299" xr:uid="{00000000-0005-0000-0000-000062190000}"/>
    <cellStyle name="Normal 5 2 8 2" xfId="3529" xr:uid="{00000000-0005-0000-0000-000063190000}"/>
    <cellStyle name="Normal 5 2 8 2 2" xfId="7751" xr:uid="{00000000-0005-0000-0000-000064190000}"/>
    <cellStyle name="Normal 5 2 8 2 2 2" xfId="16201" xr:uid="{150EB98B-DD5A-4738-90AD-0568AE02A320}"/>
    <cellStyle name="Normal 5 2 8 2 3" xfId="11983" xr:uid="{3E9FF3E8-B1E8-47D2-AC94-4F0F37E75430}"/>
    <cellStyle name="Normal 5 2 8 3" xfId="5606" xr:uid="{00000000-0005-0000-0000-000065190000}"/>
    <cellStyle name="Normal 5 2 8 3 2" xfId="14056" xr:uid="{94B29F21-B3AB-4C61-B9B3-5054318D79E9}"/>
    <cellStyle name="Normal 5 2 8 4" xfId="9838" xr:uid="{EC26B790-ED52-4879-9E18-82770B83B889}"/>
    <cellStyle name="Normal 5 2 9" xfId="1712" xr:uid="{00000000-0005-0000-0000-000066190000}"/>
    <cellStyle name="Normal 5 2 9 2" xfId="3942" xr:uid="{00000000-0005-0000-0000-000067190000}"/>
    <cellStyle name="Normal 5 2 9 2 2" xfId="8164" xr:uid="{00000000-0005-0000-0000-000068190000}"/>
    <cellStyle name="Normal 5 2 9 2 2 2" xfId="16614" xr:uid="{A59C3ED6-BEEF-40E9-9B39-FC7A05A0D594}"/>
    <cellStyle name="Normal 5 2 9 2 3" xfId="12396" xr:uid="{D5A54DA8-0A7A-4076-89D9-853F6590ACDF}"/>
    <cellStyle name="Normal 5 2 9 3" xfId="6019" xr:uid="{00000000-0005-0000-0000-000069190000}"/>
    <cellStyle name="Normal 5 2 9 3 2" xfId="14469" xr:uid="{70BE87F9-83D9-4719-BEE3-27E0D42C2E93}"/>
    <cellStyle name="Normal 5 2 9 4" xfId="10251" xr:uid="{B4939E8E-C32E-478D-81CB-0A3F8CDB8175}"/>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0FF1FA93-501B-4FF9-8FBA-DA40B305AE9D}"/>
    <cellStyle name="Normal 5 3 10 2 3" xfId="12841" xr:uid="{B9B39D1B-0D27-47B3-B5B7-777568B82F12}"/>
    <cellStyle name="Normal 5 3 10 3" xfId="6464" xr:uid="{00000000-0005-0000-0000-00006E190000}"/>
    <cellStyle name="Normal 5 3 10 3 2" xfId="14914" xr:uid="{56A65FF1-01E9-40CB-9A7C-C1AEE6AAF220}"/>
    <cellStyle name="Normal 5 3 10 4" xfId="10696" xr:uid="{A906AD90-C761-451D-8889-F3032C64FDAB}"/>
    <cellStyle name="Normal 5 3 11" xfId="2594" xr:uid="{00000000-0005-0000-0000-00006F190000}"/>
    <cellStyle name="Normal 5 3 11 2" xfId="6877" xr:uid="{00000000-0005-0000-0000-000070190000}"/>
    <cellStyle name="Normal 5 3 11 2 2" xfId="15327" xr:uid="{A17FE58D-5BDC-4A18-B627-BD6834303C5D}"/>
    <cellStyle name="Normal 5 3 11 3" xfId="11109" xr:uid="{38A84B31-FCF3-42D4-863B-618A7BBA80EC}"/>
    <cellStyle name="Normal 5 3 12" xfId="4812" xr:uid="{00000000-0005-0000-0000-000071190000}"/>
    <cellStyle name="Normal 5 3 12 2" xfId="13262" xr:uid="{FE89CC2D-144F-41DF-9C6B-0FEA13581C85}"/>
    <cellStyle name="Normal 5 3 13" xfId="9044" xr:uid="{A5EA1BF6-E59F-434C-AFCD-450A7C5259FF}"/>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54CC74A1-5979-45A2-B99B-4979D5980C6F}"/>
    <cellStyle name="Normal 5 3 3 11" xfId="9045" xr:uid="{CF30A3D9-DB7A-4F12-B79A-A28A8873D4DA}"/>
    <cellStyle name="Normal 5 3 3 2" xfId="442" xr:uid="{00000000-0005-0000-0000-000076190000}"/>
    <cellStyle name="Normal 5 3 3 2 10" xfId="9046" xr:uid="{D6CF817F-22D5-414E-A6A8-BDA55CB508CC}"/>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B0F1ACD-E77C-4461-AA00-783AFBEC787A}"/>
    <cellStyle name="Normal 5 3 3 2 2 2 2 2 3" xfId="11606" xr:uid="{471752A1-1974-4709-978E-41380B765DFB}"/>
    <cellStyle name="Normal 5 3 3 2 2 2 2 3" xfId="5229" xr:uid="{00000000-0005-0000-0000-00007C190000}"/>
    <cellStyle name="Normal 5 3 3 2 2 2 2 3 2" xfId="13679" xr:uid="{68BE643A-06DE-4644-8F38-38F4C66AF9F7}"/>
    <cellStyle name="Normal 5 3 3 2 2 2 2 4" xfId="9461" xr:uid="{77E08C0A-0C2C-4BB1-A598-394565CD386A}"/>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01B29E96-8168-4552-9627-708F5115A55A}"/>
    <cellStyle name="Normal 5 3 3 2 2 2 3 2 3" xfId="12019" xr:uid="{4D2E20D5-340D-48E9-B0C6-D55FBA4AAF44}"/>
    <cellStyle name="Normal 5 3 3 2 2 2 3 3" xfId="5642" xr:uid="{00000000-0005-0000-0000-000080190000}"/>
    <cellStyle name="Normal 5 3 3 2 2 2 3 3 2" xfId="14092" xr:uid="{85504980-E0C4-4972-A96F-ABDE23EF8050}"/>
    <cellStyle name="Normal 5 3 3 2 2 2 3 4" xfId="9874" xr:uid="{EA3CBC71-7228-429F-8343-47155BCF5CBA}"/>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D6FAE6A3-E310-4B95-9E44-6A2AB7CDFE35}"/>
    <cellStyle name="Normal 5 3 3 2 2 2 4 2 3" xfId="12432" xr:uid="{C6116F4C-DE4A-4AD4-9B94-CBDB85904C02}"/>
    <cellStyle name="Normal 5 3 3 2 2 2 4 3" xfId="6055" xr:uid="{00000000-0005-0000-0000-000084190000}"/>
    <cellStyle name="Normal 5 3 3 2 2 2 4 3 2" xfId="14505" xr:uid="{B686E4F4-DF15-4002-9F97-EFDD3031B839}"/>
    <cellStyle name="Normal 5 3 3 2 2 2 4 4" xfId="10287" xr:uid="{3109AF35-FB6F-47C2-A8F1-D193CF51CD7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8D3D4F6E-56C6-4325-A04D-B27D49D242B1}"/>
    <cellStyle name="Normal 5 3 3 2 2 2 5 2 3" xfId="12845" xr:uid="{08A1EBF3-F794-4B14-A425-0A7A0690E7B1}"/>
    <cellStyle name="Normal 5 3 3 2 2 2 5 3" xfId="6468" xr:uid="{00000000-0005-0000-0000-000088190000}"/>
    <cellStyle name="Normal 5 3 3 2 2 2 5 3 2" xfId="14918" xr:uid="{62BB990B-FC6D-4502-8EBE-2AD1CDEDE0B2}"/>
    <cellStyle name="Normal 5 3 3 2 2 2 5 4" xfId="10700" xr:uid="{7DF8EA2E-E4AE-4BF8-B4F7-C0F53B63A0CE}"/>
    <cellStyle name="Normal 5 3 3 2 2 2 6" xfId="2598" xr:uid="{00000000-0005-0000-0000-000089190000}"/>
    <cellStyle name="Normal 5 3 3 2 2 2 6 2" xfId="6881" xr:uid="{00000000-0005-0000-0000-00008A190000}"/>
    <cellStyle name="Normal 5 3 3 2 2 2 6 2 2" xfId="15331" xr:uid="{38F8C527-0305-499F-AD02-C647D0F9A01E}"/>
    <cellStyle name="Normal 5 3 3 2 2 2 6 3" xfId="11113" xr:uid="{66034EEE-6D98-4B34-8E58-ECA5DC082BB3}"/>
    <cellStyle name="Normal 5 3 3 2 2 2 7" xfId="4816" xr:uid="{00000000-0005-0000-0000-00008B190000}"/>
    <cellStyle name="Normal 5 3 3 2 2 2 7 2" xfId="13266" xr:uid="{2803BD62-8E08-4848-A1B2-E284D5ECCD67}"/>
    <cellStyle name="Normal 5 3 3 2 2 2 8" xfId="9048" xr:uid="{D7ED921F-31F2-4089-A775-8ED1CE0DF56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A12C2F01-D569-48D9-8E3D-C2E785132B33}"/>
    <cellStyle name="Normal 5 3 3 2 2 3 2 3" xfId="11605" xr:uid="{2D330C1A-45FF-4A33-A34D-7B4451961E7F}"/>
    <cellStyle name="Normal 5 3 3 2 2 3 3" xfId="5228" xr:uid="{00000000-0005-0000-0000-00008F190000}"/>
    <cellStyle name="Normal 5 3 3 2 2 3 3 2" xfId="13678" xr:uid="{F6EDAE62-9C0F-4923-ACF1-AFE2654E66A3}"/>
    <cellStyle name="Normal 5 3 3 2 2 3 4" xfId="9460" xr:uid="{2A86A036-7790-4BAA-AAEC-518E3BF67B15}"/>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12FBFFFC-0CB2-4A0E-BA57-F30872B17E16}"/>
    <cellStyle name="Normal 5 3 3 2 2 4 2 3" xfId="12018" xr:uid="{8C6B61C9-7714-41D3-B451-7CE803D5E6EE}"/>
    <cellStyle name="Normal 5 3 3 2 2 4 3" xfId="5641" xr:uid="{00000000-0005-0000-0000-000093190000}"/>
    <cellStyle name="Normal 5 3 3 2 2 4 3 2" xfId="14091" xr:uid="{0C204410-847F-484D-B6C1-FF86B9F898F2}"/>
    <cellStyle name="Normal 5 3 3 2 2 4 4" xfId="9873" xr:uid="{FBC45840-107D-4618-AE3D-901300AA94C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C8879745-D060-4958-9ABE-11B96EDF5E83}"/>
    <cellStyle name="Normal 5 3 3 2 2 5 2 3" xfId="12431" xr:uid="{3055C1EF-0469-451F-BCA9-E7B0532D134E}"/>
    <cellStyle name="Normal 5 3 3 2 2 5 3" xfId="6054" xr:uid="{00000000-0005-0000-0000-000097190000}"/>
    <cellStyle name="Normal 5 3 3 2 2 5 3 2" xfId="14504" xr:uid="{4794E318-7F69-4539-AB9B-F9C66B62619B}"/>
    <cellStyle name="Normal 5 3 3 2 2 5 4" xfId="10286" xr:uid="{F4D19258-3879-47D0-B656-330936B75A42}"/>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BFFB63C2-FB2D-4E61-AFF1-0D60126ED3F5}"/>
    <cellStyle name="Normal 5 3 3 2 2 6 2 3" xfId="12844" xr:uid="{69DADA01-7EAD-48FE-9BE3-E39BD0C06B01}"/>
    <cellStyle name="Normal 5 3 3 2 2 6 3" xfId="6467" xr:uid="{00000000-0005-0000-0000-00009B190000}"/>
    <cellStyle name="Normal 5 3 3 2 2 6 3 2" xfId="14917" xr:uid="{6DBDCB07-F35A-4ABF-AA0A-75A61AC8BB71}"/>
    <cellStyle name="Normal 5 3 3 2 2 6 4" xfId="10699" xr:uid="{0086F67F-FDAC-4693-8F55-10BBEE0ACEE6}"/>
    <cellStyle name="Normal 5 3 3 2 2 7" xfId="2597" xr:uid="{00000000-0005-0000-0000-00009C190000}"/>
    <cellStyle name="Normal 5 3 3 2 2 7 2" xfId="6880" xr:uid="{00000000-0005-0000-0000-00009D190000}"/>
    <cellStyle name="Normal 5 3 3 2 2 7 2 2" xfId="15330" xr:uid="{F1C15D7F-9DBD-4054-94B4-81F2E831BD08}"/>
    <cellStyle name="Normal 5 3 3 2 2 7 3" xfId="11112" xr:uid="{F9F567A4-BA50-417B-8374-C2429E00CD22}"/>
    <cellStyle name="Normal 5 3 3 2 2 8" xfId="4815" xr:uid="{00000000-0005-0000-0000-00009E190000}"/>
    <cellStyle name="Normal 5 3 3 2 2 8 2" xfId="13265" xr:uid="{C7F92619-8332-4F29-980D-1731B0551F9A}"/>
    <cellStyle name="Normal 5 3 3 2 2 9" xfId="9047" xr:uid="{A08C10F7-548C-49E6-BC04-33311E5FCD7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AED5C42D-AD08-44FB-A1AA-43728451C1DC}"/>
    <cellStyle name="Normal 5 3 3 2 3 2 2 3" xfId="11607" xr:uid="{460ED6E5-78C3-4C10-B77E-442F7F1F0909}"/>
    <cellStyle name="Normal 5 3 3 2 3 2 3" xfId="5230" xr:uid="{00000000-0005-0000-0000-0000A3190000}"/>
    <cellStyle name="Normal 5 3 3 2 3 2 3 2" xfId="13680" xr:uid="{B29E6EAE-6ECF-4540-ABF9-3750AF058C39}"/>
    <cellStyle name="Normal 5 3 3 2 3 2 4" xfId="9462" xr:uid="{A5DAEEDA-A24F-430D-B433-FA38CABEAAA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7FCD8088-4462-49C7-AFE3-71BD7505E121}"/>
    <cellStyle name="Normal 5 3 3 2 3 3 2 3" xfId="12020" xr:uid="{F36D7710-42D8-4E51-884D-2A8C03DD00D6}"/>
    <cellStyle name="Normal 5 3 3 2 3 3 3" xfId="5643" xr:uid="{00000000-0005-0000-0000-0000A7190000}"/>
    <cellStyle name="Normal 5 3 3 2 3 3 3 2" xfId="14093" xr:uid="{5447CA12-C3DE-412B-83DC-5DE092E3DD06}"/>
    <cellStyle name="Normal 5 3 3 2 3 3 4" xfId="9875" xr:uid="{9B5B5D31-FB90-4FB2-91BD-C98934FA8876}"/>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3A6242AD-8C0C-4B1F-9166-62542618716B}"/>
    <cellStyle name="Normal 5 3 3 2 3 4 2 3" xfId="12433" xr:uid="{C0FF5716-139A-4E64-97E8-4C540DE80751}"/>
    <cellStyle name="Normal 5 3 3 2 3 4 3" xfId="6056" xr:uid="{00000000-0005-0000-0000-0000AB190000}"/>
    <cellStyle name="Normal 5 3 3 2 3 4 3 2" xfId="14506" xr:uid="{82D3837A-24C2-4EFD-910F-882799AF25D4}"/>
    <cellStyle name="Normal 5 3 3 2 3 4 4" xfId="10288" xr:uid="{6E090BD0-4416-45DE-B94E-409830D2A6F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FB2E0F61-C6C8-421B-84BA-2B0D5BB2865F}"/>
    <cellStyle name="Normal 5 3 3 2 3 5 2 3" xfId="12846" xr:uid="{6EAA569D-488D-4C3D-B0D2-C017F47EEAD1}"/>
    <cellStyle name="Normal 5 3 3 2 3 5 3" xfId="6469" xr:uid="{00000000-0005-0000-0000-0000AF190000}"/>
    <cellStyle name="Normal 5 3 3 2 3 5 3 2" xfId="14919" xr:uid="{50524323-3B9C-471C-A068-D6A4E323B294}"/>
    <cellStyle name="Normal 5 3 3 2 3 5 4" xfId="10701" xr:uid="{CC0E6BBF-7A03-45FF-A593-B925F37AD2F4}"/>
    <cellStyle name="Normal 5 3 3 2 3 6" xfId="2599" xr:uid="{00000000-0005-0000-0000-0000B0190000}"/>
    <cellStyle name="Normal 5 3 3 2 3 6 2" xfId="6882" xr:uid="{00000000-0005-0000-0000-0000B1190000}"/>
    <cellStyle name="Normal 5 3 3 2 3 6 2 2" xfId="15332" xr:uid="{5F1917CD-68BF-443B-A9FA-50A7E7E7639D}"/>
    <cellStyle name="Normal 5 3 3 2 3 6 3" xfId="11114" xr:uid="{82C3B5D4-5848-4B35-9E25-47BDEFE1902C}"/>
    <cellStyle name="Normal 5 3 3 2 3 7" xfId="4817" xr:uid="{00000000-0005-0000-0000-0000B2190000}"/>
    <cellStyle name="Normal 5 3 3 2 3 7 2" xfId="13267" xr:uid="{E2200674-155C-4BD9-B606-5687A091E092}"/>
    <cellStyle name="Normal 5 3 3 2 3 8" xfId="9049" xr:uid="{2A861F74-FFD6-486E-8DE3-C13FD4CF073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F63172DF-8D6F-45A5-BBC0-393FC042B05D}"/>
    <cellStyle name="Normal 5 3 3 2 4 2 3" xfId="11604" xr:uid="{43284DE1-C348-4D4E-9BCD-78AF1B4BB601}"/>
    <cellStyle name="Normal 5 3 3 2 4 3" xfId="5227" xr:uid="{00000000-0005-0000-0000-0000B6190000}"/>
    <cellStyle name="Normal 5 3 3 2 4 3 2" xfId="13677" xr:uid="{EC9E0847-D0FB-4D96-B010-C3608CA226F8}"/>
    <cellStyle name="Normal 5 3 3 2 4 4" xfId="9459" xr:uid="{D021DC3B-8B90-4C92-B5F4-88A9EAD3A3C9}"/>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D8C6016E-49C0-4F39-A262-0678CD2CDBCB}"/>
    <cellStyle name="Normal 5 3 3 2 5 2 3" xfId="12017" xr:uid="{6857D4D9-43F4-444B-87D1-C88D456F2745}"/>
    <cellStyle name="Normal 5 3 3 2 5 3" xfId="5640" xr:uid="{00000000-0005-0000-0000-0000BA190000}"/>
    <cellStyle name="Normal 5 3 3 2 5 3 2" xfId="14090" xr:uid="{F62B0E84-554F-4DE3-8517-FC3DF44A059B}"/>
    <cellStyle name="Normal 5 3 3 2 5 4" xfId="9872" xr:uid="{6B33F8C2-DB98-4C15-9F37-1499A8B80C6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FF996004-0A47-4EF9-8709-DD5A6F8B5235}"/>
    <cellStyle name="Normal 5 3 3 2 6 2 3" xfId="12430" xr:uid="{78E2C817-BC44-43C4-AA24-7995C52A1CD1}"/>
    <cellStyle name="Normal 5 3 3 2 6 3" xfId="6053" xr:uid="{00000000-0005-0000-0000-0000BE190000}"/>
    <cellStyle name="Normal 5 3 3 2 6 3 2" xfId="14503" xr:uid="{E82F91E3-6722-406C-9ECB-B3EC1AB48274}"/>
    <cellStyle name="Normal 5 3 3 2 6 4" xfId="10285" xr:uid="{1DBA5EA2-E2D7-49BF-B974-20402609862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0A1E20B2-ACB9-49ED-9A92-0D55AAA021A9}"/>
    <cellStyle name="Normal 5 3 3 2 7 2 3" xfId="12843" xr:uid="{28679C46-BCEF-4938-9CA8-3DA0D81FAB03}"/>
    <cellStyle name="Normal 5 3 3 2 7 3" xfId="6466" xr:uid="{00000000-0005-0000-0000-0000C2190000}"/>
    <cellStyle name="Normal 5 3 3 2 7 3 2" xfId="14916" xr:uid="{033DD8F9-BCD8-4958-A0DF-F5EB45EBCBA9}"/>
    <cellStyle name="Normal 5 3 3 2 7 4" xfId="10698" xr:uid="{998AC5F1-5E05-4121-B924-C65D544E53D9}"/>
    <cellStyle name="Normal 5 3 3 2 8" xfId="2596" xr:uid="{00000000-0005-0000-0000-0000C3190000}"/>
    <cellStyle name="Normal 5 3 3 2 8 2" xfId="6879" xr:uid="{00000000-0005-0000-0000-0000C4190000}"/>
    <cellStyle name="Normal 5 3 3 2 8 2 2" xfId="15329" xr:uid="{B2271991-D4CA-46E8-9BAC-48E8655B47CF}"/>
    <cellStyle name="Normal 5 3 3 2 8 3" xfId="11111" xr:uid="{2A40FA34-29F3-4085-B756-E361E64C380E}"/>
    <cellStyle name="Normal 5 3 3 2 9" xfId="4814" xr:uid="{00000000-0005-0000-0000-0000C5190000}"/>
    <cellStyle name="Normal 5 3 3 2 9 2" xfId="13264" xr:uid="{990807A9-7C18-4A17-A588-91245BCCC109}"/>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50DD5E4-DFF7-4F70-9D8B-CDF3122BA6FE}"/>
    <cellStyle name="Normal 5 3 3 3 2 2 2 3" xfId="11609" xr:uid="{64C580EE-016A-4A7C-A346-496B0BED138F}"/>
    <cellStyle name="Normal 5 3 3 3 2 2 3" xfId="5232" xr:uid="{00000000-0005-0000-0000-0000CB190000}"/>
    <cellStyle name="Normal 5 3 3 3 2 2 3 2" xfId="13682" xr:uid="{5CE70D86-BECB-4976-B501-8FFE358FF291}"/>
    <cellStyle name="Normal 5 3 3 3 2 2 4" xfId="9464" xr:uid="{2B7B9A76-E995-45F7-9A0D-D7827769955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75AE0144-BC51-49FD-9330-7F1C2B230431}"/>
    <cellStyle name="Normal 5 3 3 3 2 3 2 3" xfId="12022" xr:uid="{E3B0331A-B8FD-4CF1-B198-F274106608C2}"/>
    <cellStyle name="Normal 5 3 3 3 2 3 3" xfId="5645" xr:uid="{00000000-0005-0000-0000-0000CF190000}"/>
    <cellStyle name="Normal 5 3 3 3 2 3 3 2" xfId="14095" xr:uid="{22C4795D-80E4-471A-8319-9CB6AB5539D8}"/>
    <cellStyle name="Normal 5 3 3 3 2 3 4" xfId="9877" xr:uid="{7958DD49-03B4-4CEE-A45B-36F63ABE7D5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A167DB93-F836-4E31-8552-0BD00A099DE7}"/>
    <cellStyle name="Normal 5 3 3 3 2 4 2 3" xfId="12435" xr:uid="{CF915155-336D-43D6-BA60-78981A01640A}"/>
    <cellStyle name="Normal 5 3 3 3 2 4 3" xfId="6058" xr:uid="{00000000-0005-0000-0000-0000D3190000}"/>
    <cellStyle name="Normal 5 3 3 3 2 4 3 2" xfId="14508" xr:uid="{31B7DC14-44B4-4108-81D9-57C21E7107DD}"/>
    <cellStyle name="Normal 5 3 3 3 2 4 4" xfId="10290" xr:uid="{3E87D908-B068-45BF-B0C9-BB04F069D7F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3BC878B1-8764-47C5-8170-09991B22240E}"/>
    <cellStyle name="Normal 5 3 3 3 2 5 2 3" xfId="12848" xr:uid="{690C290C-5966-4974-884A-36BA3955F906}"/>
    <cellStyle name="Normal 5 3 3 3 2 5 3" xfId="6471" xr:uid="{00000000-0005-0000-0000-0000D7190000}"/>
    <cellStyle name="Normal 5 3 3 3 2 5 3 2" xfId="14921" xr:uid="{43852D9B-5D08-4D35-A0B6-5CB3187C2A72}"/>
    <cellStyle name="Normal 5 3 3 3 2 5 4" xfId="10703" xr:uid="{C3BD2D01-C817-450E-865E-B1C18FE126AD}"/>
    <cellStyle name="Normal 5 3 3 3 2 6" xfId="2601" xr:uid="{00000000-0005-0000-0000-0000D8190000}"/>
    <cellStyle name="Normal 5 3 3 3 2 6 2" xfId="6884" xr:uid="{00000000-0005-0000-0000-0000D9190000}"/>
    <cellStyle name="Normal 5 3 3 3 2 6 2 2" xfId="15334" xr:uid="{99AE04BE-CEDD-4690-9D92-E69E69EC427C}"/>
    <cellStyle name="Normal 5 3 3 3 2 6 3" xfId="11116" xr:uid="{68DF5775-A485-49F3-8F37-988400FC5B83}"/>
    <cellStyle name="Normal 5 3 3 3 2 7" xfId="4819" xr:uid="{00000000-0005-0000-0000-0000DA190000}"/>
    <cellStyle name="Normal 5 3 3 3 2 7 2" xfId="13269" xr:uid="{9FFB8630-C4C8-46BD-A96A-D1FC9135FBF4}"/>
    <cellStyle name="Normal 5 3 3 3 2 8" xfId="9051" xr:uid="{EE1EA120-9D99-4CA4-A834-0B063CA143F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EC180989-7D37-4984-9C11-9C33D3418D8A}"/>
    <cellStyle name="Normal 5 3 3 3 3 2 3" xfId="11608" xr:uid="{971114C9-3A84-4C48-A74A-A9288E0BC5E5}"/>
    <cellStyle name="Normal 5 3 3 3 3 3" xfId="5231" xr:uid="{00000000-0005-0000-0000-0000DE190000}"/>
    <cellStyle name="Normal 5 3 3 3 3 3 2" xfId="13681" xr:uid="{7543F16B-7CEE-4FC8-B35B-FECCF43BA272}"/>
    <cellStyle name="Normal 5 3 3 3 3 4" xfId="9463" xr:uid="{FE64DDD3-C390-4A68-A9D2-8185EE71549C}"/>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51BEE08A-2AF4-47D2-980B-33C64DA033A0}"/>
    <cellStyle name="Normal 5 3 3 3 4 2 3" xfId="12021" xr:uid="{9715A917-07C2-4FE4-B23D-26171859BE74}"/>
    <cellStyle name="Normal 5 3 3 3 4 3" xfId="5644" xr:uid="{00000000-0005-0000-0000-0000E2190000}"/>
    <cellStyle name="Normal 5 3 3 3 4 3 2" xfId="14094" xr:uid="{C176BFC3-F186-4E89-8114-4A2013C88491}"/>
    <cellStyle name="Normal 5 3 3 3 4 4" xfId="9876" xr:uid="{D9C90CD6-7823-43E2-ACD3-6F36B92FE25B}"/>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F0937159-AC6A-448F-8D34-A8DA882C491A}"/>
    <cellStyle name="Normal 5 3 3 3 5 2 3" xfId="12434" xr:uid="{B84B563F-99FC-42C2-ACEF-A3F4E7688BF4}"/>
    <cellStyle name="Normal 5 3 3 3 5 3" xfId="6057" xr:uid="{00000000-0005-0000-0000-0000E6190000}"/>
    <cellStyle name="Normal 5 3 3 3 5 3 2" xfId="14507" xr:uid="{8A622E8E-A760-4A68-B046-7C9922BC186F}"/>
    <cellStyle name="Normal 5 3 3 3 5 4" xfId="10289" xr:uid="{E801F625-900F-4659-ADED-E2F60ED7042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FC4BB748-E580-4C84-B007-902CEDAADD11}"/>
    <cellStyle name="Normal 5 3 3 3 6 2 3" xfId="12847" xr:uid="{D4CA5E10-44A5-4E56-A186-DA5019E898F6}"/>
    <cellStyle name="Normal 5 3 3 3 6 3" xfId="6470" xr:uid="{00000000-0005-0000-0000-0000EA190000}"/>
    <cellStyle name="Normal 5 3 3 3 6 3 2" xfId="14920" xr:uid="{127C76C6-61FF-4CB8-A2D7-4F9CED225348}"/>
    <cellStyle name="Normal 5 3 3 3 6 4" xfId="10702" xr:uid="{AE6B1283-86B0-421F-9863-39B57BE35E1C}"/>
    <cellStyle name="Normal 5 3 3 3 7" xfId="2600" xr:uid="{00000000-0005-0000-0000-0000EB190000}"/>
    <cellStyle name="Normal 5 3 3 3 7 2" xfId="6883" xr:uid="{00000000-0005-0000-0000-0000EC190000}"/>
    <cellStyle name="Normal 5 3 3 3 7 2 2" xfId="15333" xr:uid="{397617B5-D806-4496-A9A0-FBA4FB210B6E}"/>
    <cellStyle name="Normal 5 3 3 3 7 3" xfId="11115" xr:uid="{614E98D5-38A4-4CF0-AE66-1C2502EE9E4C}"/>
    <cellStyle name="Normal 5 3 3 3 8" xfId="4818" xr:uid="{00000000-0005-0000-0000-0000ED190000}"/>
    <cellStyle name="Normal 5 3 3 3 8 2" xfId="13268" xr:uid="{271940C2-DF0F-4426-B8C9-2C9DE54B019D}"/>
    <cellStyle name="Normal 5 3 3 3 9" xfId="9050" xr:uid="{6712B69D-DCE9-4E4E-8FF4-AC1A0B74E54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E58637B7-9300-410A-B013-D9D90FCA747B}"/>
    <cellStyle name="Normal 5 3 3 4 2 2 3" xfId="11610" xr:uid="{705D7FF0-E135-45C7-AFE2-4F3944F08201}"/>
    <cellStyle name="Normal 5 3 3 4 2 3" xfId="5233" xr:uid="{00000000-0005-0000-0000-0000F2190000}"/>
    <cellStyle name="Normal 5 3 3 4 2 3 2" xfId="13683" xr:uid="{86D3EAE0-584F-41AC-837D-C442A9152E78}"/>
    <cellStyle name="Normal 5 3 3 4 2 4" xfId="9465" xr:uid="{425D8C4F-6DD8-458B-B86B-476FDC8A71B6}"/>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127B7BFE-05B4-4E85-BA5C-69CDE61DB8D8}"/>
    <cellStyle name="Normal 5 3 3 4 3 2 3" xfId="12023" xr:uid="{8DDE6E21-D057-4722-8011-C81077BD3899}"/>
    <cellStyle name="Normal 5 3 3 4 3 3" xfId="5646" xr:uid="{00000000-0005-0000-0000-0000F6190000}"/>
    <cellStyle name="Normal 5 3 3 4 3 3 2" xfId="14096" xr:uid="{F5520288-50D4-40A6-B8B6-61A4694EB2F9}"/>
    <cellStyle name="Normal 5 3 3 4 3 4" xfId="9878" xr:uid="{655275FC-30B3-46B5-BF90-1F152ED36EA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F2CA2A40-1741-4431-A7E2-AD91A04D6CA0}"/>
    <cellStyle name="Normal 5 3 3 4 4 2 3" xfId="12436" xr:uid="{2B83C8AD-3A82-4DD5-8ED1-38C990EF50CD}"/>
    <cellStyle name="Normal 5 3 3 4 4 3" xfId="6059" xr:uid="{00000000-0005-0000-0000-0000FA190000}"/>
    <cellStyle name="Normal 5 3 3 4 4 3 2" xfId="14509" xr:uid="{8375DC25-FEB7-445E-BB7A-F8AC20CC8717}"/>
    <cellStyle name="Normal 5 3 3 4 4 4" xfId="10291" xr:uid="{CBD37465-A090-4EA0-95C5-B11BCFA2CE6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F5BAB32-CAB3-42D5-81AE-594D338055B6}"/>
    <cellStyle name="Normal 5 3 3 4 5 2 3" xfId="12849" xr:uid="{8737ABF5-23F1-48BC-838D-E19066D4A769}"/>
    <cellStyle name="Normal 5 3 3 4 5 3" xfId="6472" xr:uid="{00000000-0005-0000-0000-0000FE190000}"/>
    <cellStyle name="Normal 5 3 3 4 5 3 2" xfId="14922" xr:uid="{E9F03712-BDEE-4562-887A-C5919BE06097}"/>
    <cellStyle name="Normal 5 3 3 4 5 4" xfId="10704" xr:uid="{9F19FC26-3F63-40B2-AC81-788E92027E33}"/>
    <cellStyle name="Normal 5 3 3 4 6" xfId="2602" xr:uid="{00000000-0005-0000-0000-0000FF190000}"/>
    <cellStyle name="Normal 5 3 3 4 6 2" xfId="6885" xr:uid="{00000000-0005-0000-0000-0000001A0000}"/>
    <cellStyle name="Normal 5 3 3 4 6 2 2" xfId="15335" xr:uid="{21C5E487-9A2C-45B0-A2EB-573EE7609A8D}"/>
    <cellStyle name="Normal 5 3 3 4 6 3" xfId="11117" xr:uid="{2AB72C47-E7EF-402F-9138-0F1312E7D15A}"/>
    <cellStyle name="Normal 5 3 3 4 7" xfId="4820" xr:uid="{00000000-0005-0000-0000-0000011A0000}"/>
    <cellStyle name="Normal 5 3 3 4 7 2" xfId="13270" xr:uid="{23DF7D2D-5EE1-47AD-9C4D-E94C12385E40}"/>
    <cellStyle name="Normal 5 3 3 4 8" xfId="9052" xr:uid="{5C8C4BD0-D38E-46C0-A7BA-D2C298FF45E2}"/>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463791B1-B739-419F-A4BC-3722E7657A43}"/>
    <cellStyle name="Normal 5 3 3 5 2 3" xfId="11603" xr:uid="{D5137241-6A73-4A77-A921-0DB875CF3FFB}"/>
    <cellStyle name="Normal 5 3 3 5 3" xfId="5226" xr:uid="{00000000-0005-0000-0000-0000051A0000}"/>
    <cellStyle name="Normal 5 3 3 5 3 2" xfId="13676" xr:uid="{BD93B91A-4A71-4650-9703-25823358ED73}"/>
    <cellStyle name="Normal 5 3 3 5 4" xfId="9458" xr:uid="{2D66B71A-7666-4276-BCAB-F058DA49F677}"/>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C9FA2818-CC1D-4FE8-9BE2-F675FDB79200}"/>
    <cellStyle name="Normal 5 3 3 6 2 3" xfId="12016" xr:uid="{11B84C2E-DB2C-4286-AA4A-14E6EB188693}"/>
    <cellStyle name="Normal 5 3 3 6 3" xfId="5639" xr:uid="{00000000-0005-0000-0000-0000091A0000}"/>
    <cellStyle name="Normal 5 3 3 6 3 2" xfId="14089" xr:uid="{0FBE304B-44D4-4CB5-AFFE-B64A49A42BA7}"/>
    <cellStyle name="Normal 5 3 3 6 4" xfId="9871" xr:uid="{2F0BFB86-6434-4C97-9EE2-54EA39CD329C}"/>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719EF41B-2EAA-4D9A-8F9C-CBE15666BFFF}"/>
    <cellStyle name="Normal 5 3 3 7 2 3" xfId="12429" xr:uid="{93CD336C-771B-4C33-8269-C5393049E745}"/>
    <cellStyle name="Normal 5 3 3 7 3" xfId="6052" xr:uid="{00000000-0005-0000-0000-00000D1A0000}"/>
    <cellStyle name="Normal 5 3 3 7 3 2" xfId="14502" xr:uid="{371F111E-8A96-498B-847C-4F0103AC364A}"/>
    <cellStyle name="Normal 5 3 3 7 4" xfId="10284" xr:uid="{BA8E36A0-A24C-4E47-9D44-455B234639F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3DA2DC94-0A89-45A6-B49A-E8A194D93A7F}"/>
    <cellStyle name="Normal 5 3 3 8 2 3" xfId="12842" xr:uid="{E767108B-F26C-48B7-A779-67DA8B9E4900}"/>
    <cellStyle name="Normal 5 3 3 8 3" xfId="6465" xr:uid="{00000000-0005-0000-0000-0000111A0000}"/>
    <cellStyle name="Normal 5 3 3 8 3 2" xfId="14915" xr:uid="{853AD1E4-7809-42E1-A672-DBA75A45B693}"/>
    <cellStyle name="Normal 5 3 3 8 4" xfId="10697" xr:uid="{D83E8F6F-A5FF-4969-8B53-79C15E21CDA9}"/>
    <cellStyle name="Normal 5 3 3 9" xfId="2595" xr:uid="{00000000-0005-0000-0000-0000121A0000}"/>
    <cellStyle name="Normal 5 3 3 9 2" xfId="6878" xr:uid="{00000000-0005-0000-0000-0000131A0000}"/>
    <cellStyle name="Normal 5 3 3 9 2 2" xfId="15328" xr:uid="{97E979B0-5D69-48EB-852B-7C7315088C22}"/>
    <cellStyle name="Normal 5 3 3 9 3" xfId="11110" xr:uid="{053645A1-5745-4902-B916-37D352190AC5}"/>
    <cellStyle name="Normal 5 3 4" xfId="449" xr:uid="{00000000-0005-0000-0000-0000141A0000}"/>
    <cellStyle name="Normal 5 3 4 10" xfId="9053" xr:uid="{285E5F4D-AA1B-4E23-A987-9EE10F3D5C6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5923B38A-F180-459A-9222-A077A5327502}"/>
    <cellStyle name="Normal 5 3 4 2 2 2 2 3" xfId="11613" xr:uid="{A41FB55E-AAC8-4B62-B355-3CE99AA3291F}"/>
    <cellStyle name="Normal 5 3 4 2 2 2 3" xfId="5236" xr:uid="{00000000-0005-0000-0000-00001A1A0000}"/>
    <cellStyle name="Normal 5 3 4 2 2 2 3 2" xfId="13686" xr:uid="{0579A454-89B1-4BA1-A235-8D6384342D46}"/>
    <cellStyle name="Normal 5 3 4 2 2 2 4" xfId="9468" xr:uid="{17A9FF50-32D8-45B5-AE82-21899BDAD1D9}"/>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3215D7D2-80D9-4B1C-AAA5-075A02843314}"/>
    <cellStyle name="Normal 5 3 4 2 2 3 2 3" xfId="12026" xr:uid="{18D7C252-22F9-4C13-A183-8CCC4473E41C}"/>
    <cellStyle name="Normal 5 3 4 2 2 3 3" xfId="5649" xr:uid="{00000000-0005-0000-0000-00001E1A0000}"/>
    <cellStyle name="Normal 5 3 4 2 2 3 3 2" xfId="14099" xr:uid="{30ED382B-F741-4243-8369-064119E9892A}"/>
    <cellStyle name="Normal 5 3 4 2 2 3 4" xfId="9881" xr:uid="{196CFCBC-5BB3-4CD4-8749-829F1DE0D28C}"/>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14A45312-36D4-4F8C-B218-144B060F587E}"/>
    <cellStyle name="Normal 5 3 4 2 2 4 2 3" xfId="12439" xr:uid="{C9DF57E0-EB7C-4974-A6A2-10524B9109AC}"/>
    <cellStyle name="Normal 5 3 4 2 2 4 3" xfId="6062" xr:uid="{00000000-0005-0000-0000-0000221A0000}"/>
    <cellStyle name="Normal 5 3 4 2 2 4 3 2" xfId="14512" xr:uid="{EEA9A0DC-E940-4ADB-86F5-9FE52EEDB070}"/>
    <cellStyle name="Normal 5 3 4 2 2 4 4" xfId="10294" xr:uid="{BCBF88A0-9CCF-43DF-8C8A-C3E925F69EA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C7DBBD75-862B-4EA1-BFFE-1E93632650AA}"/>
    <cellStyle name="Normal 5 3 4 2 2 5 2 3" xfId="12852" xr:uid="{0A4EE44F-D125-4A8F-9FAD-0F2A81D396B9}"/>
    <cellStyle name="Normal 5 3 4 2 2 5 3" xfId="6475" xr:uid="{00000000-0005-0000-0000-0000261A0000}"/>
    <cellStyle name="Normal 5 3 4 2 2 5 3 2" xfId="14925" xr:uid="{369C2955-8228-42B0-BE28-E9ED392D4C66}"/>
    <cellStyle name="Normal 5 3 4 2 2 5 4" xfId="10707" xr:uid="{85188B8F-857E-43ED-97BB-72D409525968}"/>
    <cellStyle name="Normal 5 3 4 2 2 6" xfId="2605" xr:uid="{00000000-0005-0000-0000-0000271A0000}"/>
    <cellStyle name="Normal 5 3 4 2 2 6 2" xfId="6888" xr:uid="{00000000-0005-0000-0000-0000281A0000}"/>
    <cellStyle name="Normal 5 3 4 2 2 6 2 2" xfId="15338" xr:uid="{078E83D7-8128-479B-9748-CE30BE45E8A9}"/>
    <cellStyle name="Normal 5 3 4 2 2 6 3" xfId="11120" xr:uid="{2BC3560E-6D61-477D-A33C-61D5EED7DDE0}"/>
    <cellStyle name="Normal 5 3 4 2 2 7" xfId="4823" xr:uid="{00000000-0005-0000-0000-0000291A0000}"/>
    <cellStyle name="Normal 5 3 4 2 2 7 2" xfId="13273" xr:uid="{4867172F-8162-45BC-8217-5F55139A79BF}"/>
    <cellStyle name="Normal 5 3 4 2 2 8" xfId="9055" xr:uid="{6A1F1967-461B-4C3B-8A91-2C8F883D7969}"/>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B5D6C5F6-AD06-431C-BD48-9E1CAF370E94}"/>
    <cellStyle name="Normal 5 3 4 2 3 2 3" xfId="11612" xr:uid="{26F04F0C-0757-4530-B4DA-8AA87C694710}"/>
    <cellStyle name="Normal 5 3 4 2 3 3" xfId="5235" xr:uid="{00000000-0005-0000-0000-00002D1A0000}"/>
    <cellStyle name="Normal 5 3 4 2 3 3 2" xfId="13685" xr:uid="{6034197E-1363-47EB-A86F-498A0ABC976C}"/>
    <cellStyle name="Normal 5 3 4 2 3 4" xfId="9467" xr:uid="{DC53F24C-FFBB-4421-BD75-944AF8EEE9C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2C429AFB-816C-49D3-8E9C-21A377B5CA26}"/>
    <cellStyle name="Normal 5 3 4 2 4 2 3" xfId="12025" xr:uid="{48099F75-E3B4-444B-BB4C-B802DE69ED19}"/>
    <cellStyle name="Normal 5 3 4 2 4 3" xfId="5648" xr:uid="{00000000-0005-0000-0000-0000311A0000}"/>
    <cellStyle name="Normal 5 3 4 2 4 3 2" xfId="14098" xr:uid="{B7BD370A-F4A5-4EDB-BA2C-3DE260A935FC}"/>
    <cellStyle name="Normal 5 3 4 2 4 4" xfId="9880" xr:uid="{A058849D-C98C-4B71-A6FE-29160A1A34B2}"/>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FB8208EF-6EB8-452A-82FF-968D83D5D81F}"/>
    <cellStyle name="Normal 5 3 4 2 5 2 3" xfId="12438" xr:uid="{26BA215E-D5B2-4B6B-915C-DB0B009E22D5}"/>
    <cellStyle name="Normal 5 3 4 2 5 3" xfId="6061" xr:uid="{00000000-0005-0000-0000-0000351A0000}"/>
    <cellStyle name="Normal 5 3 4 2 5 3 2" xfId="14511" xr:uid="{401EF4F3-34DD-4199-96E0-EA850432A8EB}"/>
    <cellStyle name="Normal 5 3 4 2 5 4" xfId="10293" xr:uid="{C82E02EB-D621-44B2-87C0-BE6A9AB97C79}"/>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AD349661-E3F1-430F-BA90-87CA49603247}"/>
    <cellStyle name="Normal 5 3 4 2 6 2 3" xfId="12851" xr:uid="{2C4DE5BB-54C7-4C83-A1C6-F063BD18B3CF}"/>
    <cellStyle name="Normal 5 3 4 2 6 3" xfId="6474" xr:uid="{00000000-0005-0000-0000-0000391A0000}"/>
    <cellStyle name="Normal 5 3 4 2 6 3 2" xfId="14924" xr:uid="{44D7F2C0-24D9-4BFD-A983-FCC329DB48DB}"/>
    <cellStyle name="Normal 5 3 4 2 6 4" xfId="10706" xr:uid="{66ED248C-88FC-4C89-9B19-18636CBA5F36}"/>
    <cellStyle name="Normal 5 3 4 2 7" xfId="2604" xr:uid="{00000000-0005-0000-0000-00003A1A0000}"/>
    <cellStyle name="Normal 5 3 4 2 7 2" xfId="6887" xr:uid="{00000000-0005-0000-0000-00003B1A0000}"/>
    <cellStyle name="Normal 5 3 4 2 7 2 2" xfId="15337" xr:uid="{9E523428-BDD1-4E3C-AB47-8F5A8564B4D3}"/>
    <cellStyle name="Normal 5 3 4 2 7 3" xfId="11119" xr:uid="{CC7F0C4C-1D21-46E9-A581-1EBF5CF164EF}"/>
    <cellStyle name="Normal 5 3 4 2 8" xfId="4822" xr:uid="{00000000-0005-0000-0000-00003C1A0000}"/>
    <cellStyle name="Normal 5 3 4 2 8 2" xfId="13272" xr:uid="{BE553975-954D-4BE3-B8FD-2D93947657AD}"/>
    <cellStyle name="Normal 5 3 4 2 9" xfId="9054" xr:uid="{D2729D7D-2DE4-44B1-AB82-BA27881DF3A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3A56C852-0D6D-418E-A652-E0BDB458E177}"/>
    <cellStyle name="Normal 5 3 4 3 2 2 3" xfId="11614" xr:uid="{E7908E69-38BB-46CC-90F7-973869A1364C}"/>
    <cellStyle name="Normal 5 3 4 3 2 3" xfId="5237" xr:uid="{00000000-0005-0000-0000-0000411A0000}"/>
    <cellStyle name="Normal 5 3 4 3 2 3 2" xfId="13687" xr:uid="{78E41C80-A1E5-4321-9C47-0D3301690581}"/>
    <cellStyle name="Normal 5 3 4 3 2 4" xfId="9469" xr:uid="{D6C18B8C-4077-4E22-9905-200100E811BA}"/>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BD8D1E72-176D-469B-8655-7CAE6CCA67BB}"/>
    <cellStyle name="Normal 5 3 4 3 3 2 3" xfId="12027" xr:uid="{E4DEF81B-8C30-4843-8053-365AA39CBFA6}"/>
    <cellStyle name="Normal 5 3 4 3 3 3" xfId="5650" xr:uid="{00000000-0005-0000-0000-0000451A0000}"/>
    <cellStyle name="Normal 5 3 4 3 3 3 2" xfId="14100" xr:uid="{86A346BE-1693-4DC1-BCFE-C35EC7A06260}"/>
    <cellStyle name="Normal 5 3 4 3 3 4" xfId="9882" xr:uid="{D1C95EE4-D764-47C3-86DE-003FB0330DD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0FE0771B-B1FA-4E21-88D4-A9F3E544D0DB}"/>
    <cellStyle name="Normal 5 3 4 3 4 2 3" xfId="12440" xr:uid="{DADE76A1-9145-45DC-BA73-A07A2BE1846C}"/>
    <cellStyle name="Normal 5 3 4 3 4 3" xfId="6063" xr:uid="{00000000-0005-0000-0000-0000491A0000}"/>
    <cellStyle name="Normal 5 3 4 3 4 3 2" xfId="14513" xr:uid="{478A789B-2F1F-4967-B22D-906339AFD1D6}"/>
    <cellStyle name="Normal 5 3 4 3 4 4" xfId="10295" xr:uid="{8F5F48CF-507D-499D-9971-DC4AD73D886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26B65984-CE77-4F00-83A1-6AE9042AF867}"/>
    <cellStyle name="Normal 5 3 4 3 5 2 3" xfId="12853" xr:uid="{A197F021-070B-4E78-B752-95458098050F}"/>
    <cellStyle name="Normal 5 3 4 3 5 3" xfId="6476" xr:uid="{00000000-0005-0000-0000-00004D1A0000}"/>
    <cellStyle name="Normal 5 3 4 3 5 3 2" xfId="14926" xr:uid="{49BF5D16-D5C0-4D12-A257-69B4332283CC}"/>
    <cellStyle name="Normal 5 3 4 3 5 4" xfId="10708" xr:uid="{94216E12-3A78-4A45-BB84-8C9E3D5F6EDC}"/>
    <cellStyle name="Normal 5 3 4 3 6" xfId="2606" xr:uid="{00000000-0005-0000-0000-00004E1A0000}"/>
    <cellStyle name="Normal 5 3 4 3 6 2" xfId="6889" xr:uid="{00000000-0005-0000-0000-00004F1A0000}"/>
    <cellStyle name="Normal 5 3 4 3 6 2 2" xfId="15339" xr:uid="{B147B0C6-AB3D-4585-8C03-CE84D7EC7C93}"/>
    <cellStyle name="Normal 5 3 4 3 6 3" xfId="11121" xr:uid="{FD8BE37B-87A7-4022-BF97-9751A9188869}"/>
    <cellStyle name="Normal 5 3 4 3 7" xfId="4824" xr:uid="{00000000-0005-0000-0000-0000501A0000}"/>
    <cellStyle name="Normal 5 3 4 3 7 2" xfId="13274" xr:uid="{0DDE4CA8-0403-442F-B80F-C6F564A9C2E0}"/>
    <cellStyle name="Normal 5 3 4 3 8" xfId="9056" xr:uid="{88DD403A-1324-4E35-B188-236E1B7DFA03}"/>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03DB2FB4-D647-47B9-B58B-94CC8EF098AE}"/>
    <cellStyle name="Normal 5 3 4 4 2 3" xfId="11611" xr:uid="{0CCC0328-B0D3-4D8E-BDD7-5855D764BD30}"/>
    <cellStyle name="Normal 5 3 4 4 3" xfId="5234" xr:uid="{00000000-0005-0000-0000-0000541A0000}"/>
    <cellStyle name="Normal 5 3 4 4 3 2" xfId="13684" xr:uid="{19B4540F-86E1-4D46-85F9-55161B3E7ADE}"/>
    <cellStyle name="Normal 5 3 4 4 4" xfId="9466" xr:uid="{040574F1-AADB-4ABB-B0BD-1DA904374BEB}"/>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210FB2BA-4D4C-4C1F-8D6C-530F9B6381FF}"/>
    <cellStyle name="Normal 5 3 4 5 2 3" xfId="12024" xr:uid="{8C3B53EE-0D1B-49BB-A35E-DA68BF89503B}"/>
    <cellStyle name="Normal 5 3 4 5 3" xfId="5647" xr:uid="{00000000-0005-0000-0000-0000581A0000}"/>
    <cellStyle name="Normal 5 3 4 5 3 2" xfId="14097" xr:uid="{2AAD2FAC-A5AF-4C03-8A59-BBD75A347745}"/>
    <cellStyle name="Normal 5 3 4 5 4" xfId="9879" xr:uid="{7429043C-7568-470D-996E-14D30EF1CE5F}"/>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E2CDBD10-DEE4-4D99-A047-AC2B84FE180E}"/>
    <cellStyle name="Normal 5 3 4 6 2 3" xfId="12437" xr:uid="{FA3A6B43-83C9-4151-A40F-5D66A3904DE1}"/>
    <cellStyle name="Normal 5 3 4 6 3" xfId="6060" xr:uid="{00000000-0005-0000-0000-00005C1A0000}"/>
    <cellStyle name="Normal 5 3 4 6 3 2" xfId="14510" xr:uid="{500AB176-F342-4C59-8743-C6D462290628}"/>
    <cellStyle name="Normal 5 3 4 6 4" xfId="10292" xr:uid="{12C98A78-A6D9-4A0F-8241-EDF07FF276F7}"/>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649DFEC-E8BD-4D87-844A-87A6C4FCC887}"/>
    <cellStyle name="Normal 5 3 4 7 2 3" xfId="12850" xr:uid="{64371BCB-99AC-41EC-B18B-7E3744C4903E}"/>
    <cellStyle name="Normal 5 3 4 7 3" xfId="6473" xr:uid="{00000000-0005-0000-0000-0000601A0000}"/>
    <cellStyle name="Normal 5 3 4 7 3 2" xfId="14923" xr:uid="{83C726C6-2FDE-4768-B371-BCC6D768EF40}"/>
    <cellStyle name="Normal 5 3 4 7 4" xfId="10705" xr:uid="{ABBFBC50-FB2F-44B6-89FF-0986F41051F8}"/>
    <cellStyle name="Normal 5 3 4 8" xfId="2603" xr:uid="{00000000-0005-0000-0000-0000611A0000}"/>
    <cellStyle name="Normal 5 3 4 8 2" xfId="6886" xr:uid="{00000000-0005-0000-0000-0000621A0000}"/>
    <cellStyle name="Normal 5 3 4 8 2 2" xfId="15336" xr:uid="{CE8972C6-23A3-42D8-B7F1-650D5D26FDB3}"/>
    <cellStyle name="Normal 5 3 4 8 3" xfId="11118" xr:uid="{0B0EFCD6-C546-4691-B34C-9B699B23D65F}"/>
    <cellStyle name="Normal 5 3 4 9" xfId="4821" xr:uid="{00000000-0005-0000-0000-0000631A0000}"/>
    <cellStyle name="Normal 5 3 4 9 2" xfId="13271" xr:uid="{4793DBE0-9C84-43F5-8840-3E6CE0CF5FC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79EF2A2E-3825-47BD-B999-97B9CF28C260}"/>
    <cellStyle name="Normal 5 3 5 2 2 2 3" xfId="11616" xr:uid="{D48B5F0A-A3DC-4E0A-BD64-3137D2ED6429}"/>
    <cellStyle name="Normal 5 3 5 2 2 3" xfId="5239" xr:uid="{00000000-0005-0000-0000-0000691A0000}"/>
    <cellStyle name="Normal 5 3 5 2 2 3 2" xfId="13689" xr:uid="{004AC7B9-4F8B-47DC-B675-CC76C7F939EA}"/>
    <cellStyle name="Normal 5 3 5 2 2 4" xfId="9471" xr:uid="{0DD49E49-C583-43C4-8482-51F3D5D81D9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0EE4AA9B-F843-4155-BF55-8DE1049BCCF2}"/>
    <cellStyle name="Normal 5 3 5 2 3 2 3" xfId="12029" xr:uid="{40DF1D29-F845-4E41-A34C-C42C4DF057A0}"/>
    <cellStyle name="Normal 5 3 5 2 3 3" xfId="5652" xr:uid="{00000000-0005-0000-0000-00006D1A0000}"/>
    <cellStyle name="Normal 5 3 5 2 3 3 2" xfId="14102" xr:uid="{3B69B72C-56E9-4585-962D-2D38319F5775}"/>
    <cellStyle name="Normal 5 3 5 2 3 4" xfId="9884" xr:uid="{035825DF-B457-4C2C-9E53-8546B0B23981}"/>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AF5A8ADC-EDB5-4545-9C77-EEA2BEA7F857}"/>
    <cellStyle name="Normal 5 3 5 2 4 2 3" xfId="12442" xr:uid="{B23425B1-13B5-4952-83F3-19A5513F589A}"/>
    <cellStyle name="Normal 5 3 5 2 4 3" xfId="6065" xr:uid="{00000000-0005-0000-0000-0000711A0000}"/>
    <cellStyle name="Normal 5 3 5 2 4 3 2" xfId="14515" xr:uid="{DB600848-0664-453D-A501-50F574A5A3E5}"/>
    <cellStyle name="Normal 5 3 5 2 4 4" xfId="10297" xr:uid="{85446E12-E653-49F3-A075-79B7EA14E65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98087227-EB10-43B0-A44B-A7B068128E5A}"/>
    <cellStyle name="Normal 5 3 5 2 5 2 3" xfId="12855" xr:uid="{361D0B1B-F2FB-44F9-BFA3-13062CF3B5FC}"/>
    <cellStyle name="Normal 5 3 5 2 5 3" xfId="6478" xr:uid="{00000000-0005-0000-0000-0000751A0000}"/>
    <cellStyle name="Normal 5 3 5 2 5 3 2" xfId="14928" xr:uid="{6B16E8BE-1ABD-4C50-AEED-AC5A1881C67D}"/>
    <cellStyle name="Normal 5 3 5 2 5 4" xfId="10710" xr:uid="{811466A1-66E2-4082-A8C7-14D50E085568}"/>
    <cellStyle name="Normal 5 3 5 2 6" xfId="2608" xr:uid="{00000000-0005-0000-0000-0000761A0000}"/>
    <cellStyle name="Normal 5 3 5 2 6 2" xfId="6891" xr:uid="{00000000-0005-0000-0000-0000771A0000}"/>
    <cellStyle name="Normal 5 3 5 2 6 2 2" xfId="15341" xr:uid="{2DFAEDCF-3C12-4FA7-9E36-C77A54A983F9}"/>
    <cellStyle name="Normal 5 3 5 2 6 3" xfId="11123" xr:uid="{41A60A4F-4BF5-4953-8BB8-C35B372AF1A3}"/>
    <cellStyle name="Normal 5 3 5 2 7" xfId="4826" xr:uid="{00000000-0005-0000-0000-0000781A0000}"/>
    <cellStyle name="Normal 5 3 5 2 7 2" xfId="13276" xr:uid="{8A8EE4A7-3720-4C03-AFFF-58C1D3C486D8}"/>
    <cellStyle name="Normal 5 3 5 2 8" xfId="9058" xr:uid="{AD3DCB7E-DFD9-4B84-8CBF-427FFCF331EA}"/>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52CA9082-4ED6-4993-9482-1853B06D6837}"/>
    <cellStyle name="Normal 5 3 5 3 2 3" xfId="11615" xr:uid="{8FA3B7E8-B5C8-4289-BBC3-8F8FBCA241EA}"/>
    <cellStyle name="Normal 5 3 5 3 3" xfId="5238" xr:uid="{00000000-0005-0000-0000-00007C1A0000}"/>
    <cellStyle name="Normal 5 3 5 3 3 2" xfId="13688" xr:uid="{F72B6BDA-E165-45E8-B0B8-1C2503D41D7B}"/>
    <cellStyle name="Normal 5 3 5 3 4" xfId="9470" xr:uid="{AD96CC50-9DA3-4256-AC21-A30E08C5CA4C}"/>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6EFB0165-F526-4D71-B31F-B4DB0F6CBCC0}"/>
    <cellStyle name="Normal 5 3 5 4 2 3" xfId="12028" xr:uid="{8D19975B-4575-4892-9F43-23D7CB502C4E}"/>
    <cellStyle name="Normal 5 3 5 4 3" xfId="5651" xr:uid="{00000000-0005-0000-0000-0000801A0000}"/>
    <cellStyle name="Normal 5 3 5 4 3 2" xfId="14101" xr:uid="{1BE7139F-1380-4219-AFAE-AAA9689E7444}"/>
    <cellStyle name="Normal 5 3 5 4 4" xfId="9883" xr:uid="{0809BCB8-C3B1-45F4-8226-CB9EA044224F}"/>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96978178-DF7A-4870-9DEC-13D8C4BC88C9}"/>
    <cellStyle name="Normal 5 3 5 5 2 3" xfId="12441" xr:uid="{798F7EA0-B215-4E93-9683-0BA55E794E69}"/>
    <cellStyle name="Normal 5 3 5 5 3" xfId="6064" xr:uid="{00000000-0005-0000-0000-0000841A0000}"/>
    <cellStyle name="Normal 5 3 5 5 3 2" xfId="14514" xr:uid="{FA83A63F-720D-4D2B-9E78-5BE75F91E8F3}"/>
    <cellStyle name="Normal 5 3 5 5 4" xfId="10296" xr:uid="{36870DB0-EBD7-4115-BAEA-C2EFC11ADA08}"/>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A8A47932-070B-4BE1-976D-2884821463CC}"/>
    <cellStyle name="Normal 5 3 5 6 2 3" xfId="12854" xr:uid="{CFE4FAA0-E380-4F4E-B187-93EF1389EE27}"/>
    <cellStyle name="Normal 5 3 5 6 3" xfId="6477" xr:uid="{00000000-0005-0000-0000-0000881A0000}"/>
    <cellStyle name="Normal 5 3 5 6 3 2" xfId="14927" xr:uid="{019FA842-40E8-425A-8648-D88EE7D96400}"/>
    <cellStyle name="Normal 5 3 5 6 4" xfId="10709" xr:uid="{8C9C9B47-58D5-4A39-BF05-1CFA877D8F39}"/>
    <cellStyle name="Normal 5 3 5 7" xfId="2607" xr:uid="{00000000-0005-0000-0000-0000891A0000}"/>
    <cellStyle name="Normal 5 3 5 7 2" xfId="6890" xr:uid="{00000000-0005-0000-0000-00008A1A0000}"/>
    <cellStyle name="Normal 5 3 5 7 2 2" xfId="15340" xr:uid="{64D6AB01-3C7E-471A-9557-22A5B18A2B80}"/>
    <cellStyle name="Normal 5 3 5 7 3" xfId="11122" xr:uid="{163A310F-944A-4D79-844A-FF398BA11E3B}"/>
    <cellStyle name="Normal 5 3 5 8" xfId="4825" xr:uid="{00000000-0005-0000-0000-00008B1A0000}"/>
    <cellStyle name="Normal 5 3 5 8 2" xfId="13275" xr:uid="{1D4BAFBA-6B4A-46E3-ACC3-532A340A6E68}"/>
    <cellStyle name="Normal 5 3 5 9" xfId="9057" xr:uid="{B8D3372C-545F-4436-8179-11FEDFB68899}"/>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9068CD3-1E9E-4263-A095-A5B8E515A3E8}"/>
    <cellStyle name="Normal 5 3 6 2 2 3" xfId="11617" xr:uid="{6CE1FD70-8023-46BD-B082-F0B35B8D93CE}"/>
    <cellStyle name="Normal 5 3 6 2 3" xfId="5240" xr:uid="{00000000-0005-0000-0000-0000901A0000}"/>
    <cellStyle name="Normal 5 3 6 2 3 2" xfId="13690" xr:uid="{7E01F025-4A02-44B9-9DDA-CB4791A5398A}"/>
    <cellStyle name="Normal 5 3 6 2 4" xfId="9472" xr:uid="{AA0277A8-323E-460D-A90A-73EB787B73CF}"/>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4B26A104-CFEB-490D-A99D-9ABD422559AE}"/>
    <cellStyle name="Normal 5 3 6 3 2 3" xfId="12030" xr:uid="{D48ED02E-5466-4C90-A680-9D9F9E0E3D66}"/>
    <cellStyle name="Normal 5 3 6 3 3" xfId="5653" xr:uid="{00000000-0005-0000-0000-0000941A0000}"/>
    <cellStyle name="Normal 5 3 6 3 3 2" xfId="14103" xr:uid="{2414C1FC-C464-411D-AD19-701742DAF4EC}"/>
    <cellStyle name="Normal 5 3 6 3 4" xfId="9885" xr:uid="{20DEA787-8D18-4FF7-90B5-0CECCFE82B31}"/>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7A963EA1-DF9A-4807-A632-EB72849D2A22}"/>
    <cellStyle name="Normal 5 3 6 4 2 3" xfId="12443" xr:uid="{17A8D6B8-8E0F-44C2-950F-6EE46F055771}"/>
    <cellStyle name="Normal 5 3 6 4 3" xfId="6066" xr:uid="{00000000-0005-0000-0000-0000981A0000}"/>
    <cellStyle name="Normal 5 3 6 4 3 2" xfId="14516" xr:uid="{DF40805A-8E9D-4B16-99D4-41F56426BE8B}"/>
    <cellStyle name="Normal 5 3 6 4 4" xfId="10298" xr:uid="{F78C122B-A366-4354-9418-3D8F253F7510}"/>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2EC149BC-D911-4BDD-9EC2-A5DD91E9A805}"/>
    <cellStyle name="Normal 5 3 6 5 2 3" xfId="12856" xr:uid="{2CE20726-60B1-4E60-93FB-6F800838601B}"/>
    <cellStyle name="Normal 5 3 6 5 3" xfId="6479" xr:uid="{00000000-0005-0000-0000-00009C1A0000}"/>
    <cellStyle name="Normal 5 3 6 5 3 2" xfId="14929" xr:uid="{B040F92D-22E9-46E8-B78C-424DBAAE7968}"/>
    <cellStyle name="Normal 5 3 6 5 4" xfId="10711" xr:uid="{3ACFD649-4A08-4F52-A98F-56FFB2188702}"/>
    <cellStyle name="Normal 5 3 6 6" xfId="2609" xr:uid="{00000000-0005-0000-0000-00009D1A0000}"/>
    <cellStyle name="Normal 5 3 6 6 2" xfId="6892" xr:uid="{00000000-0005-0000-0000-00009E1A0000}"/>
    <cellStyle name="Normal 5 3 6 6 2 2" xfId="15342" xr:uid="{BEB83E44-E23A-40AB-A529-6C454A99641E}"/>
    <cellStyle name="Normal 5 3 6 6 3" xfId="11124" xr:uid="{A180F143-D13B-4AE5-8924-492308E2D512}"/>
    <cellStyle name="Normal 5 3 6 7" xfId="4827" xr:uid="{00000000-0005-0000-0000-00009F1A0000}"/>
    <cellStyle name="Normal 5 3 6 7 2" xfId="13277" xr:uid="{6A289EC3-A548-428E-87F2-4ECC9DE5EAFC}"/>
    <cellStyle name="Normal 5 3 6 8" xfId="9059" xr:uid="{910EE61E-CC49-4585-9FB3-F0373879BFAD}"/>
    <cellStyle name="Normal 5 3 7" xfId="913" xr:uid="{00000000-0005-0000-0000-0000A01A0000}"/>
    <cellStyle name="Normal 5 3 7 2" xfId="3148" xr:uid="{00000000-0005-0000-0000-0000A11A0000}"/>
    <cellStyle name="Normal 5 3 7 2 2" xfId="7370" xr:uid="{00000000-0005-0000-0000-0000A21A0000}"/>
    <cellStyle name="Normal 5 3 7 2 2 2" xfId="15820" xr:uid="{3B08D7CE-1BD5-4F63-B77E-0AEAC19148DF}"/>
    <cellStyle name="Normal 5 3 7 2 3" xfId="11602" xr:uid="{A7609DA1-AD82-4B66-94C7-84373FAB8791}"/>
    <cellStyle name="Normal 5 3 7 3" xfId="5225" xr:uid="{00000000-0005-0000-0000-0000A31A0000}"/>
    <cellStyle name="Normal 5 3 7 3 2" xfId="13675" xr:uid="{156E6859-6D5C-4E6D-93EF-3584AFBE5A21}"/>
    <cellStyle name="Normal 5 3 7 4" xfId="9457" xr:uid="{70C2785D-5E2D-41BB-9F5B-47925CC0A6E6}"/>
    <cellStyle name="Normal 5 3 8" xfId="1331" xr:uid="{00000000-0005-0000-0000-0000A41A0000}"/>
    <cellStyle name="Normal 5 3 8 2" xfId="3561" xr:uid="{00000000-0005-0000-0000-0000A51A0000}"/>
    <cellStyle name="Normal 5 3 8 2 2" xfId="7783" xr:uid="{00000000-0005-0000-0000-0000A61A0000}"/>
    <cellStyle name="Normal 5 3 8 2 2 2" xfId="16233" xr:uid="{2A1A7C41-DADA-42D8-A954-C11A3BE7CE1E}"/>
    <cellStyle name="Normal 5 3 8 2 3" xfId="12015" xr:uid="{309C3B47-5EE6-4766-A8BF-063DA5B61B2D}"/>
    <cellStyle name="Normal 5 3 8 3" xfId="5638" xr:uid="{00000000-0005-0000-0000-0000A71A0000}"/>
    <cellStyle name="Normal 5 3 8 3 2" xfId="14088" xr:uid="{1E8FF117-AC07-481D-AC12-0F1ACC409701}"/>
    <cellStyle name="Normal 5 3 8 4" xfId="9870" xr:uid="{4BE565CB-D2E2-43B3-9367-DF4E035C5CA0}"/>
    <cellStyle name="Normal 5 3 9" xfId="1744" xr:uid="{00000000-0005-0000-0000-0000A81A0000}"/>
    <cellStyle name="Normal 5 3 9 2" xfId="3974" xr:uid="{00000000-0005-0000-0000-0000A91A0000}"/>
    <cellStyle name="Normal 5 3 9 2 2" xfId="8196" xr:uid="{00000000-0005-0000-0000-0000AA1A0000}"/>
    <cellStyle name="Normal 5 3 9 2 2 2" xfId="16646" xr:uid="{BA6A71B2-0DDF-48A2-A6CE-525F6AE732C4}"/>
    <cellStyle name="Normal 5 3 9 2 3" xfId="12428" xr:uid="{73532997-8D71-4412-B4E4-196834741FA5}"/>
    <cellStyle name="Normal 5 3 9 3" xfId="6051" xr:uid="{00000000-0005-0000-0000-0000AB1A0000}"/>
    <cellStyle name="Normal 5 3 9 3 2" xfId="14501" xr:uid="{2F5C28ED-7F69-4615-8203-2D62366B4E60}"/>
    <cellStyle name="Normal 5 3 9 4" xfId="10283" xr:uid="{8C5EA093-9387-42D6-B1CB-3D5B844F97B3}"/>
    <cellStyle name="Normal 5 4" xfId="456" xr:uid="{00000000-0005-0000-0000-0000AC1A0000}"/>
    <cellStyle name="Normal 5 4 10" xfId="4828" xr:uid="{00000000-0005-0000-0000-0000AD1A0000}"/>
    <cellStyle name="Normal 5 4 10 2" xfId="13278" xr:uid="{00DDE88B-DBE3-4D57-8906-2611DD14E728}"/>
    <cellStyle name="Normal 5 4 11" xfId="9060" xr:uid="{DD44DA14-5A23-4BC0-8753-00BB35C54B5C}"/>
    <cellStyle name="Normal 5 4 2" xfId="457" xr:uid="{00000000-0005-0000-0000-0000AE1A0000}"/>
    <cellStyle name="Normal 5 4 2 10" xfId="9061" xr:uid="{70C60452-7092-48D5-8796-754A0637065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144CCB38-DE13-4232-AE57-DA58913FCF26}"/>
    <cellStyle name="Normal 5 4 2 2 2 2 2 3" xfId="11621" xr:uid="{9A22684C-B123-40C1-80A5-D1D4307B3745}"/>
    <cellStyle name="Normal 5 4 2 2 2 2 3" xfId="5244" xr:uid="{00000000-0005-0000-0000-0000B41A0000}"/>
    <cellStyle name="Normal 5 4 2 2 2 2 3 2" xfId="13694" xr:uid="{7DF667C1-3A17-40F7-89C7-C76493650C96}"/>
    <cellStyle name="Normal 5 4 2 2 2 2 4" xfId="9476" xr:uid="{6F61B58D-B7BC-48FB-B71F-B6562FD74AE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B559F98C-7BB4-48D2-8DA1-46E319740569}"/>
    <cellStyle name="Normal 5 4 2 2 2 3 2 3" xfId="12034" xr:uid="{0ED02882-A517-44F3-BF92-A8ADE515C500}"/>
    <cellStyle name="Normal 5 4 2 2 2 3 3" xfId="5657" xr:uid="{00000000-0005-0000-0000-0000B81A0000}"/>
    <cellStyle name="Normal 5 4 2 2 2 3 3 2" xfId="14107" xr:uid="{B14AC34B-6050-4B76-BA1C-3375BF6258AE}"/>
    <cellStyle name="Normal 5 4 2 2 2 3 4" xfId="9889" xr:uid="{40866CD9-9FB0-41BC-874D-ECFACAB6A83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B7B8412C-72B4-4F70-B02E-09BABFCE12D4}"/>
    <cellStyle name="Normal 5 4 2 2 2 4 2 3" xfId="12447" xr:uid="{C44CF35F-97B1-4FBF-A336-82106169F661}"/>
    <cellStyle name="Normal 5 4 2 2 2 4 3" xfId="6070" xr:uid="{00000000-0005-0000-0000-0000BC1A0000}"/>
    <cellStyle name="Normal 5 4 2 2 2 4 3 2" xfId="14520" xr:uid="{68D2B946-3CB8-474B-A8CA-362B35FC15FC}"/>
    <cellStyle name="Normal 5 4 2 2 2 4 4" xfId="10302" xr:uid="{0875EE1E-595E-4AA9-8342-41DF3E75C411}"/>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34FB25A0-AE83-4753-9167-71DF469E22E6}"/>
    <cellStyle name="Normal 5 4 2 2 2 5 2 3" xfId="12860" xr:uid="{E2C891D3-E1DF-42FC-8D02-B18A8FAEECDE}"/>
    <cellStyle name="Normal 5 4 2 2 2 5 3" xfId="6483" xr:uid="{00000000-0005-0000-0000-0000C01A0000}"/>
    <cellStyle name="Normal 5 4 2 2 2 5 3 2" xfId="14933" xr:uid="{8888F335-DE90-4EBD-8BEF-C6A657BB207B}"/>
    <cellStyle name="Normal 5 4 2 2 2 5 4" xfId="10715" xr:uid="{AF93910D-BA52-4207-AF7F-E35ED08E6FD0}"/>
    <cellStyle name="Normal 5 4 2 2 2 6" xfId="2613" xr:uid="{00000000-0005-0000-0000-0000C11A0000}"/>
    <cellStyle name="Normal 5 4 2 2 2 6 2" xfId="6896" xr:uid="{00000000-0005-0000-0000-0000C21A0000}"/>
    <cellStyle name="Normal 5 4 2 2 2 6 2 2" xfId="15346" xr:uid="{2F1AAB00-9DF1-4886-A162-67CF31654794}"/>
    <cellStyle name="Normal 5 4 2 2 2 6 3" xfId="11128" xr:uid="{8CB9AB03-77BD-4C0A-8D47-AE6E6A3E5DA0}"/>
    <cellStyle name="Normal 5 4 2 2 2 7" xfId="4831" xr:uid="{00000000-0005-0000-0000-0000C31A0000}"/>
    <cellStyle name="Normal 5 4 2 2 2 7 2" xfId="13281" xr:uid="{3D3041C7-9F02-452C-BD89-1CA91815CE68}"/>
    <cellStyle name="Normal 5 4 2 2 2 8" xfId="9063" xr:uid="{1FDB827B-1954-4FAD-99AD-6160A2BD30F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B7EBCC0D-FD20-471D-B741-B048708E6C6A}"/>
    <cellStyle name="Normal 5 4 2 2 3 2 3" xfId="11620" xr:uid="{0A6E206B-F4DB-49AF-8682-401D29CDE7CC}"/>
    <cellStyle name="Normal 5 4 2 2 3 3" xfId="5243" xr:uid="{00000000-0005-0000-0000-0000C71A0000}"/>
    <cellStyle name="Normal 5 4 2 2 3 3 2" xfId="13693" xr:uid="{B9228408-1EFB-4433-8702-D2FF964F0651}"/>
    <cellStyle name="Normal 5 4 2 2 3 4" xfId="9475" xr:uid="{479C29DE-7519-4326-B848-D4FA53502260}"/>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97AFEDDA-7745-4E78-8B91-562E4DA07C41}"/>
    <cellStyle name="Normal 5 4 2 2 4 2 3" xfId="12033" xr:uid="{738AE995-1588-4E9F-8A8A-BA7029E1A482}"/>
    <cellStyle name="Normal 5 4 2 2 4 3" xfId="5656" xr:uid="{00000000-0005-0000-0000-0000CB1A0000}"/>
    <cellStyle name="Normal 5 4 2 2 4 3 2" xfId="14106" xr:uid="{9D932A7D-DA49-4A63-AA76-2C3FD04B3F19}"/>
    <cellStyle name="Normal 5 4 2 2 4 4" xfId="9888" xr:uid="{739E2D05-E5BC-48EB-8A27-5376DE359969}"/>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1367DA50-A1F3-46C2-97E8-01B6835E9888}"/>
    <cellStyle name="Normal 5 4 2 2 5 2 3" xfId="12446" xr:uid="{417D4AAC-B1DD-4E5C-878A-5A55B9B67351}"/>
    <cellStyle name="Normal 5 4 2 2 5 3" xfId="6069" xr:uid="{00000000-0005-0000-0000-0000CF1A0000}"/>
    <cellStyle name="Normal 5 4 2 2 5 3 2" xfId="14519" xr:uid="{24FE72C2-C8D9-4C09-9FD6-11B399AF4CFF}"/>
    <cellStyle name="Normal 5 4 2 2 5 4" xfId="10301" xr:uid="{1476F6AF-2C81-443A-B03A-E30EEB565B9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411BCA57-4C62-4F1F-946A-67FF2998CA6B}"/>
    <cellStyle name="Normal 5 4 2 2 6 2 3" xfId="12859" xr:uid="{275B74CF-805E-433F-8BC7-0CF167942766}"/>
    <cellStyle name="Normal 5 4 2 2 6 3" xfId="6482" xr:uid="{00000000-0005-0000-0000-0000D31A0000}"/>
    <cellStyle name="Normal 5 4 2 2 6 3 2" xfId="14932" xr:uid="{323A14AF-1431-45F1-BD7E-0842B4CAEF05}"/>
    <cellStyle name="Normal 5 4 2 2 6 4" xfId="10714" xr:uid="{4B44DA36-1702-4A0C-995A-9449AC04D15D}"/>
    <cellStyle name="Normal 5 4 2 2 7" xfId="2612" xr:uid="{00000000-0005-0000-0000-0000D41A0000}"/>
    <cellStyle name="Normal 5 4 2 2 7 2" xfId="6895" xr:uid="{00000000-0005-0000-0000-0000D51A0000}"/>
    <cellStyle name="Normal 5 4 2 2 7 2 2" xfId="15345" xr:uid="{33B096B5-BFB5-4573-BFF4-E4FBBD19BBB5}"/>
    <cellStyle name="Normal 5 4 2 2 7 3" xfId="11127" xr:uid="{12E741AC-D66E-419D-BA40-F95D8DE1ACE6}"/>
    <cellStyle name="Normal 5 4 2 2 8" xfId="4830" xr:uid="{00000000-0005-0000-0000-0000D61A0000}"/>
    <cellStyle name="Normal 5 4 2 2 8 2" xfId="13280" xr:uid="{5FFE747F-3C49-4134-94DC-C35AAD4C7A3F}"/>
    <cellStyle name="Normal 5 4 2 2 9" xfId="9062" xr:uid="{A453F646-072A-4657-AA88-823D9AD354AD}"/>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D3557A69-9696-431C-B914-4EC26BB7DEB2}"/>
    <cellStyle name="Normal 5 4 2 3 2 2 3" xfId="11622" xr:uid="{0A40B381-B31F-48A7-AD2C-E3943C612274}"/>
    <cellStyle name="Normal 5 4 2 3 2 3" xfId="5245" xr:uid="{00000000-0005-0000-0000-0000DB1A0000}"/>
    <cellStyle name="Normal 5 4 2 3 2 3 2" xfId="13695" xr:uid="{2D1482EE-466C-4C94-ADAE-74889985954E}"/>
    <cellStyle name="Normal 5 4 2 3 2 4" xfId="9477" xr:uid="{B4AE5870-5DA3-4CDC-9FBB-3744EDC9603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E011B2F0-40B2-4479-9D31-172C2B7B9AB4}"/>
    <cellStyle name="Normal 5 4 2 3 3 2 3" xfId="12035" xr:uid="{436D77F2-1037-4892-9431-1C90C2AFC9DA}"/>
    <cellStyle name="Normal 5 4 2 3 3 3" xfId="5658" xr:uid="{00000000-0005-0000-0000-0000DF1A0000}"/>
    <cellStyle name="Normal 5 4 2 3 3 3 2" xfId="14108" xr:uid="{21D92707-5F40-476D-94F3-F3AD00DDADB8}"/>
    <cellStyle name="Normal 5 4 2 3 3 4" xfId="9890" xr:uid="{9899DA9D-9381-4804-BED5-79FDEB55ACA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DB8BFBA7-7D44-427A-83E8-8A09F041CEF9}"/>
    <cellStyle name="Normal 5 4 2 3 4 2 3" xfId="12448" xr:uid="{402989C0-1F8A-4C16-A388-18242382E540}"/>
    <cellStyle name="Normal 5 4 2 3 4 3" xfId="6071" xr:uid="{00000000-0005-0000-0000-0000E31A0000}"/>
    <cellStyle name="Normal 5 4 2 3 4 3 2" xfId="14521" xr:uid="{F3E5530A-DD03-4529-83AA-A05BE0EC5E85}"/>
    <cellStyle name="Normal 5 4 2 3 4 4" xfId="10303" xr:uid="{51718AA9-D2D5-4EA0-9D5E-B8701086024A}"/>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052A1318-46DB-4D2F-ACDD-EC1CE561396D}"/>
    <cellStyle name="Normal 5 4 2 3 5 2 3" xfId="12861" xr:uid="{D8F27846-2DF8-4470-B6FE-60BBEBA42DA0}"/>
    <cellStyle name="Normal 5 4 2 3 5 3" xfId="6484" xr:uid="{00000000-0005-0000-0000-0000E71A0000}"/>
    <cellStyle name="Normal 5 4 2 3 5 3 2" xfId="14934" xr:uid="{BF6DB744-8EB5-4999-A863-B3A454E5BD52}"/>
    <cellStyle name="Normal 5 4 2 3 5 4" xfId="10716" xr:uid="{E2796F70-EDE9-4CC4-8ECF-01067AA2BAB3}"/>
    <cellStyle name="Normal 5 4 2 3 6" xfId="2614" xr:uid="{00000000-0005-0000-0000-0000E81A0000}"/>
    <cellStyle name="Normal 5 4 2 3 6 2" xfId="6897" xr:uid="{00000000-0005-0000-0000-0000E91A0000}"/>
    <cellStyle name="Normal 5 4 2 3 6 2 2" xfId="15347" xr:uid="{D509B9A7-C290-4C7A-962D-664D8C539BD5}"/>
    <cellStyle name="Normal 5 4 2 3 6 3" xfId="11129" xr:uid="{C7D74B87-D9C2-488B-98D6-5D35D30505F5}"/>
    <cellStyle name="Normal 5 4 2 3 7" xfId="4832" xr:uid="{00000000-0005-0000-0000-0000EA1A0000}"/>
    <cellStyle name="Normal 5 4 2 3 7 2" xfId="13282" xr:uid="{DE4988FC-3E8B-4DB3-92A3-F4BCA7777913}"/>
    <cellStyle name="Normal 5 4 2 3 8" xfId="9064" xr:uid="{FE991D66-8C69-49E4-96D8-1B2238FED6ED}"/>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B0293AC5-42CE-4B86-8761-4048699870B4}"/>
    <cellStyle name="Normal 5 4 2 4 2 3" xfId="11619" xr:uid="{3D2C5234-7269-4C54-AA8E-EF74E35FF223}"/>
    <cellStyle name="Normal 5 4 2 4 3" xfId="5242" xr:uid="{00000000-0005-0000-0000-0000EE1A0000}"/>
    <cellStyle name="Normal 5 4 2 4 3 2" xfId="13692" xr:uid="{EAECD78D-E168-4941-90B8-22744502BB58}"/>
    <cellStyle name="Normal 5 4 2 4 4" xfId="9474" xr:uid="{1885B064-DB4B-4414-8359-769C78C82E2D}"/>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77217EFE-4959-4223-BB8E-CA26D8F02CC4}"/>
    <cellStyle name="Normal 5 4 2 5 2 3" xfId="12032" xr:uid="{EE562376-38CE-41B9-85F5-C1C6A5F74BE7}"/>
    <cellStyle name="Normal 5 4 2 5 3" xfId="5655" xr:uid="{00000000-0005-0000-0000-0000F21A0000}"/>
    <cellStyle name="Normal 5 4 2 5 3 2" xfId="14105" xr:uid="{9263D6D9-74CC-40E1-BD83-7DFF80F2E644}"/>
    <cellStyle name="Normal 5 4 2 5 4" xfId="9887" xr:uid="{0234D5A6-C867-42CB-9E8D-EB35B56337B6}"/>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2736C236-0B7A-4510-8F73-83827B1A0592}"/>
    <cellStyle name="Normal 5 4 2 6 2 3" xfId="12445" xr:uid="{E5EB842B-C353-4AD6-AB57-3F5B2B32DBA1}"/>
    <cellStyle name="Normal 5 4 2 6 3" xfId="6068" xr:uid="{00000000-0005-0000-0000-0000F61A0000}"/>
    <cellStyle name="Normal 5 4 2 6 3 2" xfId="14518" xr:uid="{E2D2C4D9-D1F2-4F78-AD79-9AE8BE4CBC1F}"/>
    <cellStyle name="Normal 5 4 2 6 4" xfId="10300" xr:uid="{2EDF8CD8-3820-4FA4-A797-8C6BFE8DC803}"/>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42ACE71F-21C1-4F04-8793-0B270861F589}"/>
    <cellStyle name="Normal 5 4 2 7 2 3" xfId="12858" xr:uid="{3DB994FB-1C1B-4E33-B097-39B4FAB20FDD}"/>
    <cellStyle name="Normal 5 4 2 7 3" xfId="6481" xr:uid="{00000000-0005-0000-0000-0000FA1A0000}"/>
    <cellStyle name="Normal 5 4 2 7 3 2" xfId="14931" xr:uid="{A56E65D0-0BAD-4563-87D9-9E542B253FE1}"/>
    <cellStyle name="Normal 5 4 2 7 4" xfId="10713" xr:uid="{7C539FD6-A690-4B7C-B5D1-5BDE261C1315}"/>
    <cellStyle name="Normal 5 4 2 8" xfId="2611" xr:uid="{00000000-0005-0000-0000-0000FB1A0000}"/>
    <cellStyle name="Normal 5 4 2 8 2" xfId="6894" xr:uid="{00000000-0005-0000-0000-0000FC1A0000}"/>
    <cellStyle name="Normal 5 4 2 8 2 2" xfId="15344" xr:uid="{8E5CBBF3-20F9-4A14-ACDC-91C2371A3CA9}"/>
    <cellStyle name="Normal 5 4 2 8 3" xfId="11126" xr:uid="{D31C04CE-2AD9-4C76-BF83-DC966715575E}"/>
    <cellStyle name="Normal 5 4 2 9" xfId="4829" xr:uid="{00000000-0005-0000-0000-0000FD1A0000}"/>
    <cellStyle name="Normal 5 4 2 9 2" xfId="13279" xr:uid="{8E86BF39-0ED0-4F42-AFD0-35E4C2C385C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B4F3E19F-21F1-4FF6-9B0C-D4A430AEE2AD}"/>
    <cellStyle name="Normal 5 4 3 2 2 2 3" xfId="11624" xr:uid="{1D4CE4F3-002C-48BA-B003-517F5EC6AA8F}"/>
    <cellStyle name="Normal 5 4 3 2 2 3" xfId="5247" xr:uid="{00000000-0005-0000-0000-0000031B0000}"/>
    <cellStyle name="Normal 5 4 3 2 2 3 2" xfId="13697" xr:uid="{FB60D0E6-FD49-4ACE-AA94-752929838FCE}"/>
    <cellStyle name="Normal 5 4 3 2 2 4" xfId="9479" xr:uid="{B495D6FD-B729-4876-A8A4-67BBD323A09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196E5E9A-24B3-4D82-8529-44F049BB5490}"/>
    <cellStyle name="Normal 5 4 3 2 3 2 3" xfId="12037" xr:uid="{2AC63326-5CFF-443B-8E57-A851E73212D8}"/>
    <cellStyle name="Normal 5 4 3 2 3 3" xfId="5660" xr:uid="{00000000-0005-0000-0000-0000071B0000}"/>
    <cellStyle name="Normal 5 4 3 2 3 3 2" xfId="14110" xr:uid="{75544487-540F-4BE7-8D03-C630651D06A9}"/>
    <cellStyle name="Normal 5 4 3 2 3 4" xfId="9892" xr:uid="{10CCE097-3D2D-425B-876F-D9C9510EF6DE}"/>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A1B8A05F-4F58-4451-987A-C00DFF32594F}"/>
    <cellStyle name="Normal 5 4 3 2 4 2 3" xfId="12450" xr:uid="{A55F670D-B857-47DB-9A8B-540C209B5E0F}"/>
    <cellStyle name="Normal 5 4 3 2 4 3" xfId="6073" xr:uid="{00000000-0005-0000-0000-00000B1B0000}"/>
    <cellStyle name="Normal 5 4 3 2 4 3 2" xfId="14523" xr:uid="{CBDDE54A-A408-4059-9E1F-CCE279F21FF2}"/>
    <cellStyle name="Normal 5 4 3 2 4 4" xfId="10305" xr:uid="{10BD6119-4D31-4197-8661-8079205335C6}"/>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91B6D07B-B892-48B0-A323-AE9ACFB69E39}"/>
    <cellStyle name="Normal 5 4 3 2 5 2 3" xfId="12863" xr:uid="{0C71D431-5FDC-4DDA-9FC5-12AF2ADCE2F8}"/>
    <cellStyle name="Normal 5 4 3 2 5 3" xfId="6486" xr:uid="{00000000-0005-0000-0000-00000F1B0000}"/>
    <cellStyle name="Normal 5 4 3 2 5 3 2" xfId="14936" xr:uid="{24A73F6F-6632-4466-87A5-61BACE9C19F4}"/>
    <cellStyle name="Normal 5 4 3 2 5 4" xfId="10718" xr:uid="{3AC3AF3B-AE33-4FCC-BB5B-DD9203B7DFD6}"/>
    <cellStyle name="Normal 5 4 3 2 6" xfId="2616" xr:uid="{00000000-0005-0000-0000-0000101B0000}"/>
    <cellStyle name="Normal 5 4 3 2 6 2" xfId="6899" xr:uid="{00000000-0005-0000-0000-0000111B0000}"/>
    <cellStyle name="Normal 5 4 3 2 6 2 2" xfId="15349" xr:uid="{12CC044D-A44B-4366-B2BE-6B2706984DD6}"/>
    <cellStyle name="Normal 5 4 3 2 6 3" xfId="11131" xr:uid="{A13EDC8E-6E7A-4E8B-95E5-F2490BD5F026}"/>
    <cellStyle name="Normal 5 4 3 2 7" xfId="4834" xr:uid="{00000000-0005-0000-0000-0000121B0000}"/>
    <cellStyle name="Normal 5 4 3 2 7 2" xfId="13284" xr:uid="{67C74485-16A7-4BC2-9C22-EAC7AAFB940F}"/>
    <cellStyle name="Normal 5 4 3 2 8" xfId="9066" xr:uid="{EF927A64-CCF5-4172-AEF0-7EB6EA70ACB0}"/>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02561D22-834C-4983-B819-A7FB9100EA0D}"/>
    <cellStyle name="Normal 5 4 3 3 2 3" xfId="11623" xr:uid="{6C0977B1-B84D-41B2-A2E7-40F77E3E6704}"/>
    <cellStyle name="Normal 5 4 3 3 3" xfId="5246" xr:uid="{00000000-0005-0000-0000-0000161B0000}"/>
    <cellStyle name="Normal 5 4 3 3 3 2" xfId="13696" xr:uid="{F168225F-0899-46D1-B07D-48EF918B26D9}"/>
    <cellStyle name="Normal 5 4 3 3 4" xfId="9478" xr:uid="{B80B194F-ED65-4DEC-9FF9-9CAC7E85D7F4}"/>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2CC523D9-1B5A-4F66-B00B-62C4FBE94EE7}"/>
    <cellStyle name="Normal 5 4 3 4 2 3" xfId="12036" xr:uid="{106D712D-44D6-4ECE-AEA8-FCD352F38AB4}"/>
    <cellStyle name="Normal 5 4 3 4 3" xfId="5659" xr:uid="{00000000-0005-0000-0000-00001A1B0000}"/>
    <cellStyle name="Normal 5 4 3 4 3 2" xfId="14109" xr:uid="{FF35FEF1-DED2-4C81-A7F4-4496A8D142A2}"/>
    <cellStyle name="Normal 5 4 3 4 4" xfId="9891" xr:uid="{C14218B8-A82D-4D8E-9EF3-A7C31FFE1882}"/>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4ECF6234-1CF5-43D5-93A8-52007DFA1F29}"/>
    <cellStyle name="Normal 5 4 3 5 2 3" xfId="12449" xr:uid="{559AA82B-9283-4759-814A-5C5EC699CE6C}"/>
    <cellStyle name="Normal 5 4 3 5 3" xfId="6072" xr:uid="{00000000-0005-0000-0000-00001E1B0000}"/>
    <cellStyle name="Normal 5 4 3 5 3 2" xfId="14522" xr:uid="{7CF4A5EE-999E-4B54-B3C2-8222AD403C7B}"/>
    <cellStyle name="Normal 5 4 3 5 4" xfId="10304" xr:uid="{B44070FA-6E74-4E93-93FE-17AD62F1AFA6}"/>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D9D3FE5D-7E3B-4D2D-B522-B44D110DA8E9}"/>
    <cellStyle name="Normal 5 4 3 6 2 3" xfId="12862" xr:uid="{A2E1F198-4D88-4A86-B785-E388B43A92C6}"/>
    <cellStyle name="Normal 5 4 3 6 3" xfId="6485" xr:uid="{00000000-0005-0000-0000-0000221B0000}"/>
    <cellStyle name="Normal 5 4 3 6 3 2" xfId="14935" xr:uid="{E64A6C85-CA85-435C-93D1-84EAF4CC81A6}"/>
    <cellStyle name="Normal 5 4 3 6 4" xfId="10717" xr:uid="{0DBF800B-6861-4B10-9A98-0D338288F12C}"/>
    <cellStyle name="Normal 5 4 3 7" xfId="2615" xr:uid="{00000000-0005-0000-0000-0000231B0000}"/>
    <cellStyle name="Normal 5 4 3 7 2" xfId="6898" xr:uid="{00000000-0005-0000-0000-0000241B0000}"/>
    <cellStyle name="Normal 5 4 3 7 2 2" xfId="15348" xr:uid="{5CC1AD18-207E-499E-AB14-69DD614E20B5}"/>
    <cellStyle name="Normal 5 4 3 7 3" xfId="11130" xr:uid="{4521D25E-FB57-43C6-858D-690FA3ECE415}"/>
    <cellStyle name="Normal 5 4 3 8" xfId="4833" xr:uid="{00000000-0005-0000-0000-0000251B0000}"/>
    <cellStyle name="Normal 5 4 3 8 2" xfId="13283" xr:uid="{3C951D7D-0CF4-42F9-A8D7-DB0A584F41CC}"/>
    <cellStyle name="Normal 5 4 3 9" xfId="9065" xr:uid="{6AD84A8A-13F0-4632-9BC2-0D389B1D977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C619A1BA-42D4-40DE-A8F9-EDED20D740B9}"/>
    <cellStyle name="Normal 5 4 4 2 2 3" xfId="11625" xr:uid="{880F9BD9-C55F-468E-A1D4-2B1B6ADC8D68}"/>
    <cellStyle name="Normal 5 4 4 2 3" xfId="5248" xr:uid="{00000000-0005-0000-0000-00002A1B0000}"/>
    <cellStyle name="Normal 5 4 4 2 3 2" xfId="13698" xr:uid="{65F27CFC-8B71-4881-A224-B471666D4381}"/>
    <cellStyle name="Normal 5 4 4 2 4" xfId="9480" xr:uid="{D9654A4E-1530-4C23-90AB-FD27EB9C308E}"/>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1105161B-976C-4799-9156-A12F9EC49494}"/>
    <cellStyle name="Normal 5 4 4 3 2 3" xfId="12038" xr:uid="{6E72E2E4-4D18-42E4-8BAA-EC442C123A1C}"/>
    <cellStyle name="Normal 5 4 4 3 3" xfId="5661" xr:uid="{00000000-0005-0000-0000-00002E1B0000}"/>
    <cellStyle name="Normal 5 4 4 3 3 2" xfId="14111" xr:uid="{40C40856-CC69-45A4-A8F0-96BC57610FB2}"/>
    <cellStyle name="Normal 5 4 4 3 4" xfId="9893" xr:uid="{5DF75E7A-A53F-4501-A131-6C2870147ED9}"/>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57856549-5C96-45EF-9E12-49783B1B54A7}"/>
    <cellStyle name="Normal 5 4 4 4 2 3" xfId="12451" xr:uid="{113A832B-8929-455B-A4E8-AFF9407995C9}"/>
    <cellStyle name="Normal 5 4 4 4 3" xfId="6074" xr:uid="{00000000-0005-0000-0000-0000321B0000}"/>
    <cellStyle name="Normal 5 4 4 4 3 2" xfId="14524" xr:uid="{091FA808-5D3D-47F5-83E1-F7308D125D22}"/>
    <cellStyle name="Normal 5 4 4 4 4" xfId="10306" xr:uid="{30580683-C496-4211-AB61-7CED0AB728D2}"/>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2DBDA949-36C2-4EE3-BB82-0DDE77BADF70}"/>
    <cellStyle name="Normal 5 4 4 5 2 3" xfId="12864" xr:uid="{8B3A786B-3775-4C5B-BDA6-44B1F9E32A49}"/>
    <cellStyle name="Normal 5 4 4 5 3" xfId="6487" xr:uid="{00000000-0005-0000-0000-0000361B0000}"/>
    <cellStyle name="Normal 5 4 4 5 3 2" xfId="14937" xr:uid="{B47043EB-9CB6-4D00-8BC6-1B556B699FDE}"/>
    <cellStyle name="Normal 5 4 4 5 4" xfId="10719" xr:uid="{6C4598F0-BC2D-4967-B51F-66418706CF61}"/>
    <cellStyle name="Normal 5 4 4 6" xfId="2617" xr:uid="{00000000-0005-0000-0000-0000371B0000}"/>
    <cellStyle name="Normal 5 4 4 6 2" xfId="6900" xr:uid="{00000000-0005-0000-0000-0000381B0000}"/>
    <cellStyle name="Normal 5 4 4 6 2 2" xfId="15350" xr:uid="{D511712F-2ADE-4737-97C9-73079505987E}"/>
    <cellStyle name="Normal 5 4 4 6 3" xfId="11132" xr:uid="{D4517754-CFF2-47F5-AE70-D0409F409DED}"/>
    <cellStyle name="Normal 5 4 4 7" xfId="4835" xr:uid="{00000000-0005-0000-0000-0000391B0000}"/>
    <cellStyle name="Normal 5 4 4 7 2" xfId="13285" xr:uid="{50B8CF6C-BE20-4DEA-AFFF-C0AB60092597}"/>
    <cellStyle name="Normal 5 4 4 8" xfId="9067" xr:uid="{802E61F8-F492-498F-B1E8-315BB4D3FA70}"/>
    <cellStyle name="Normal 5 4 5" xfId="930" xr:uid="{00000000-0005-0000-0000-00003A1B0000}"/>
    <cellStyle name="Normal 5 4 5 2" xfId="3164" xr:uid="{00000000-0005-0000-0000-00003B1B0000}"/>
    <cellStyle name="Normal 5 4 5 2 2" xfId="7386" xr:uid="{00000000-0005-0000-0000-00003C1B0000}"/>
    <cellStyle name="Normal 5 4 5 2 2 2" xfId="15836" xr:uid="{9150245B-DF9F-418E-827E-3B9BCAC4B6AB}"/>
    <cellStyle name="Normal 5 4 5 2 3" xfId="11618" xr:uid="{4ADC915B-AAC0-42D4-9488-53645D064833}"/>
    <cellStyle name="Normal 5 4 5 3" xfId="5241" xr:uid="{00000000-0005-0000-0000-00003D1B0000}"/>
    <cellStyle name="Normal 5 4 5 3 2" xfId="13691" xr:uid="{189E005A-E7AE-4B84-A6F5-0E108E41452F}"/>
    <cellStyle name="Normal 5 4 5 4" xfId="9473" xr:uid="{D97DC97C-5837-488E-9EAC-F6DE0DF856E8}"/>
    <cellStyle name="Normal 5 4 6" xfId="1347" xr:uid="{00000000-0005-0000-0000-00003E1B0000}"/>
    <cellStyle name="Normal 5 4 6 2" xfId="3577" xr:uid="{00000000-0005-0000-0000-00003F1B0000}"/>
    <cellStyle name="Normal 5 4 6 2 2" xfId="7799" xr:uid="{00000000-0005-0000-0000-0000401B0000}"/>
    <cellStyle name="Normal 5 4 6 2 2 2" xfId="16249" xr:uid="{020D04FA-E096-496C-9B59-3C4A2DE02184}"/>
    <cellStyle name="Normal 5 4 6 2 3" xfId="12031" xr:uid="{430B3EFD-1D78-453C-9B7C-A766AF07848E}"/>
    <cellStyle name="Normal 5 4 6 3" xfId="5654" xr:uid="{00000000-0005-0000-0000-0000411B0000}"/>
    <cellStyle name="Normal 5 4 6 3 2" xfId="14104" xr:uid="{EBFF772F-31D7-4EAB-96E0-D2355CE17412}"/>
    <cellStyle name="Normal 5 4 6 4" xfId="9886" xr:uid="{F35C4FC3-FB8B-4F0C-9436-9800D496D796}"/>
    <cellStyle name="Normal 5 4 7" xfId="1760" xr:uid="{00000000-0005-0000-0000-0000421B0000}"/>
    <cellStyle name="Normal 5 4 7 2" xfId="3990" xr:uid="{00000000-0005-0000-0000-0000431B0000}"/>
    <cellStyle name="Normal 5 4 7 2 2" xfId="8212" xr:uid="{00000000-0005-0000-0000-0000441B0000}"/>
    <cellStyle name="Normal 5 4 7 2 2 2" xfId="16662" xr:uid="{8FB2CFF9-0B41-4A20-84F9-138036DE34C8}"/>
    <cellStyle name="Normal 5 4 7 2 3" xfId="12444" xr:uid="{28929D0B-7D86-4D6A-AC80-353F9C7B6C65}"/>
    <cellStyle name="Normal 5 4 7 3" xfId="6067" xr:uid="{00000000-0005-0000-0000-0000451B0000}"/>
    <cellStyle name="Normal 5 4 7 3 2" xfId="14517" xr:uid="{F27E42B6-8464-4A57-92AA-B8B594C83B7A}"/>
    <cellStyle name="Normal 5 4 7 4" xfId="10299" xr:uid="{DA8C5347-9861-4A33-8DED-EE7B591361AC}"/>
    <cellStyle name="Normal 5 4 8" xfId="2174" xr:uid="{00000000-0005-0000-0000-0000461B0000}"/>
    <cellStyle name="Normal 5 4 8 2" xfId="4403" xr:uid="{00000000-0005-0000-0000-0000471B0000}"/>
    <cellStyle name="Normal 5 4 8 2 2" xfId="8625" xr:uid="{00000000-0005-0000-0000-0000481B0000}"/>
    <cellStyle name="Normal 5 4 8 2 2 2" xfId="17075" xr:uid="{16D37D53-DA65-46A4-A3CF-69EABB04B988}"/>
    <cellStyle name="Normal 5 4 8 2 3" xfId="12857" xr:uid="{07181A86-9047-4984-B765-6559EE99BAB4}"/>
    <cellStyle name="Normal 5 4 8 3" xfId="6480" xr:uid="{00000000-0005-0000-0000-0000491B0000}"/>
    <cellStyle name="Normal 5 4 8 3 2" xfId="14930" xr:uid="{3438E8B1-3136-48B2-B5E1-27E8698140B2}"/>
    <cellStyle name="Normal 5 4 8 4" xfId="10712" xr:uid="{216D5DAE-4794-480D-8B6F-2D20FD38840C}"/>
    <cellStyle name="Normal 5 4 9" xfId="2610" xr:uid="{00000000-0005-0000-0000-00004A1B0000}"/>
    <cellStyle name="Normal 5 4 9 2" xfId="6893" xr:uid="{00000000-0005-0000-0000-00004B1B0000}"/>
    <cellStyle name="Normal 5 4 9 2 2" xfId="15343" xr:uid="{4270A0B7-796E-41D0-9722-5CA0E48AC0B6}"/>
    <cellStyle name="Normal 5 4 9 3" xfId="11125" xr:uid="{104DE485-411F-4A51-B906-7B5ABFAEC5C2}"/>
    <cellStyle name="Normal 5 5" xfId="464" xr:uid="{00000000-0005-0000-0000-00004C1B0000}"/>
    <cellStyle name="Normal 5 5 10" xfId="9068" xr:uid="{125F7359-199E-44D7-B1BB-F731E312C9CB}"/>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D242BB19-1FD9-4F2B-A93B-2C5908874B4F}"/>
    <cellStyle name="Normal 5 5 2 2 2 2 3" xfId="11628" xr:uid="{859D82F5-282C-4ED1-ADA6-6601D198DB43}"/>
    <cellStyle name="Normal 5 5 2 2 2 3" xfId="5251" xr:uid="{00000000-0005-0000-0000-0000521B0000}"/>
    <cellStyle name="Normal 5 5 2 2 2 3 2" xfId="13701" xr:uid="{8F09F25E-5B5E-4547-A5AF-E162767DE83B}"/>
    <cellStyle name="Normal 5 5 2 2 2 4" xfId="9483" xr:uid="{4118ECE2-1BDB-4174-9359-75915486AFA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010054BB-794C-47C3-839D-10BBD4123982}"/>
    <cellStyle name="Normal 5 5 2 2 3 2 3" xfId="12041" xr:uid="{ED26F0DD-517B-4858-A62B-CE52800A12B7}"/>
    <cellStyle name="Normal 5 5 2 2 3 3" xfId="5664" xr:uid="{00000000-0005-0000-0000-0000561B0000}"/>
    <cellStyle name="Normal 5 5 2 2 3 3 2" xfId="14114" xr:uid="{34914D80-352F-4DD9-B90D-0F543FCCD711}"/>
    <cellStyle name="Normal 5 5 2 2 3 4" xfId="9896" xr:uid="{57A461D9-F819-45BC-945C-D6BCB6A0E421}"/>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E78EF751-647F-46C8-AA2C-B177757A1151}"/>
    <cellStyle name="Normal 5 5 2 2 4 2 3" xfId="12454" xr:uid="{F64447AE-D3FF-4BE9-8D2C-73805BE8D434}"/>
    <cellStyle name="Normal 5 5 2 2 4 3" xfId="6077" xr:uid="{00000000-0005-0000-0000-00005A1B0000}"/>
    <cellStyle name="Normal 5 5 2 2 4 3 2" xfId="14527" xr:uid="{B64AB119-244F-4081-A277-1AD384D6BAD0}"/>
    <cellStyle name="Normal 5 5 2 2 4 4" xfId="10309" xr:uid="{C2609456-2D41-4CCA-895D-6DB03B8D18A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20A4DA62-23B3-4E1E-8DF9-EFCEC7EA94B6}"/>
    <cellStyle name="Normal 5 5 2 2 5 2 3" xfId="12867" xr:uid="{FB7900DA-94FA-4F59-954A-D283585F5194}"/>
    <cellStyle name="Normal 5 5 2 2 5 3" xfId="6490" xr:uid="{00000000-0005-0000-0000-00005E1B0000}"/>
    <cellStyle name="Normal 5 5 2 2 5 3 2" xfId="14940" xr:uid="{B3602E19-511A-4307-B6F2-41EFB3AC741E}"/>
    <cellStyle name="Normal 5 5 2 2 5 4" xfId="10722" xr:uid="{74EFF78D-315D-45D7-A78A-63257CDE2B9B}"/>
    <cellStyle name="Normal 5 5 2 2 6" xfId="2620" xr:uid="{00000000-0005-0000-0000-00005F1B0000}"/>
    <cellStyle name="Normal 5 5 2 2 6 2" xfId="6903" xr:uid="{00000000-0005-0000-0000-0000601B0000}"/>
    <cellStyle name="Normal 5 5 2 2 6 2 2" xfId="15353" xr:uid="{F70349FB-7D42-4854-9C97-40E043CEB0D4}"/>
    <cellStyle name="Normal 5 5 2 2 6 3" xfId="11135" xr:uid="{E4767F5F-A461-4F4B-B1C8-078D913DF5F3}"/>
    <cellStyle name="Normal 5 5 2 2 7" xfId="4838" xr:uid="{00000000-0005-0000-0000-0000611B0000}"/>
    <cellStyle name="Normal 5 5 2 2 7 2" xfId="13288" xr:uid="{440A3E7D-0A46-4E70-AB76-133EE1F2516D}"/>
    <cellStyle name="Normal 5 5 2 2 8" xfId="9070" xr:uid="{3AC0712C-FD26-4AF1-9129-C945A6018CE7}"/>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D0E2F166-E73F-4173-9C8B-6BB7219B0D91}"/>
    <cellStyle name="Normal 5 5 2 3 2 3" xfId="11627" xr:uid="{4CFBD3B4-BC27-42CC-B835-84D49855327F}"/>
    <cellStyle name="Normal 5 5 2 3 3" xfId="5250" xr:uid="{00000000-0005-0000-0000-0000651B0000}"/>
    <cellStyle name="Normal 5 5 2 3 3 2" xfId="13700" xr:uid="{8EA340FD-5406-45D0-B583-1751F2C5E65F}"/>
    <cellStyle name="Normal 5 5 2 3 4" xfId="9482" xr:uid="{EA26BE1E-1B83-4432-88BC-138663B6E17D}"/>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5146A3B4-0EE7-46F2-B44D-DFB1154D29CD}"/>
    <cellStyle name="Normal 5 5 2 4 2 3" xfId="12040" xr:uid="{494085A4-910B-405E-86EB-38C20C9D2896}"/>
    <cellStyle name="Normal 5 5 2 4 3" xfId="5663" xr:uid="{00000000-0005-0000-0000-0000691B0000}"/>
    <cellStyle name="Normal 5 5 2 4 3 2" xfId="14113" xr:uid="{016C857B-02F9-4044-85A8-BBB68E6764E0}"/>
    <cellStyle name="Normal 5 5 2 4 4" xfId="9895" xr:uid="{1D998E58-A784-4057-94F9-46F8C019EFFA}"/>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27DE36B7-0B20-447A-9179-47103212A809}"/>
    <cellStyle name="Normal 5 5 2 5 2 3" xfId="12453" xr:uid="{F9164BBA-D85E-4AAA-84E0-4843EC9A6109}"/>
    <cellStyle name="Normal 5 5 2 5 3" xfId="6076" xr:uid="{00000000-0005-0000-0000-00006D1B0000}"/>
    <cellStyle name="Normal 5 5 2 5 3 2" xfId="14526" xr:uid="{3A1A3B61-22B9-42C0-ACF2-A9F92AA50A85}"/>
    <cellStyle name="Normal 5 5 2 5 4" xfId="10308" xr:uid="{41134362-2672-4EF8-975F-8F88841698D8}"/>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7D3F56BC-BD06-4E55-BBBC-CAA213716366}"/>
    <cellStyle name="Normal 5 5 2 6 2 3" xfId="12866" xr:uid="{2935E4DA-4D94-4EFE-9FCE-325DD18349F3}"/>
    <cellStyle name="Normal 5 5 2 6 3" xfId="6489" xr:uid="{00000000-0005-0000-0000-0000711B0000}"/>
    <cellStyle name="Normal 5 5 2 6 3 2" xfId="14939" xr:uid="{3EE93E4E-74A2-4DA0-ACD4-8F4F8E1BE216}"/>
    <cellStyle name="Normal 5 5 2 6 4" xfId="10721" xr:uid="{B947CF03-ED3A-4960-BF47-9537A9B3D4E6}"/>
    <cellStyle name="Normal 5 5 2 7" xfId="2619" xr:uid="{00000000-0005-0000-0000-0000721B0000}"/>
    <cellStyle name="Normal 5 5 2 7 2" xfId="6902" xr:uid="{00000000-0005-0000-0000-0000731B0000}"/>
    <cellStyle name="Normal 5 5 2 7 2 2" xfId="15352" xr:uid="{0C734AFC-B0DF-47BE-A39F-F4978CD648FA}"/>
    <cellStyle name="Normal 5 5 2 7 3" xfId="11134" xr:uid="{6118CA70-04A6-4EEB-AE61-930AEEE45FD1}"/>
    <cellStyle name="Normal 5 5 2 8" xfId="4837" xr:uid="{00000000-0005-0000-0000-0000741B0000}"/>
    <cellStyle name="Normal 5 5 2 8 2" xfId="13287" xr:uid="{C9CCBAD2-A3B8-4CE3-BC48-3873B8B00039}"/>
    <cellStyle name="Normal 5 5 2 9" xfId="9069" xr:uid="{018EAC8A-B9D8-4E8F-BE52-A319C250017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94455A0C-A21E-46CF-9AED-F2EAB56BF507}"/>
    <cellStyle name="Normal 5 5 3 2 2 3" xfId="11629" xr:uid="{FCB007E8-B7EE-40D1-8DCC-F8EF94730044}"/>
    <cellStyle name="Normal 5 5 3 2 3" xfId="5252" xr:uid="{00000000-0005-0000-0000-0000791B0000}"/>
    <cellStyle name="Normal 5 5 3 2 3 2" xfId="13702" xr:uid="{D588A4A5-22B3-47A7-A148-4C432639C4C0}"/>
    <cellStyle name="Normal 5 5 3 2 4" xfId="9484" xr:uid="{D834634A-6EAC-4036-B0A4-2C359496BA93}"/>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B09E58B2-FAED-4795-8C12-026BB5E600D3}"/>
    <cellStyle name="Normal 5 5 3 3 2 3" xfId="12042" xr:uid="{AD1850C8-A29C-4FA1-B6BC-95231D930A01}"/>
    <cellStyle name="Normal 5 5 3 3 3" xfId="5665" xr:uid="{00000000-0005-0000-0000-00007D1B0000}"/>
    <cellStyle name="Normal 5 5 3 3 3 2" xfId="14115" xr:uid="{85580672-8807-4F5F-8C7B-7D335FA12294}"/>
    <cellStyle name="Normal 5 5 3 3 4" xfId="9897" xr:uid="{C8C01499-102B-4B37-B6DA-73C43760F0BC}"/>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78136426-34A3-446A-99BE-777CA3DA3FAB}"/>
    <cellStyle name="Normal 5 5 3 4 2 3" xfId="12455" xr:uid="{0408728C-9B25-4493-A7B8-E0B04EC84D44}"/>
    <cellStyle name="Normal 5 5 3 4 3" xfId="6078" xr:uid="{00000000-0005-0000-0000-0000811B0000}"/>
    <cellStyle name="Normal 5 5 3 4 3 2" xfId="14528" xr:uid="{EE2C519D-439F-47D5-9F4A-48885498467B}"/>
    <cellStyle name="Normal 5 5 3 4 4" xfId="10310" xr:uid="{2D5F2D9E-28D3-4269-B1C6-D4A10CF0CFE2}"/>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2A3C7B49-DC45-4CD0-A7F5-79DE1736C1E7}"/>
    <cellStyle name="Normal 5 5 3 5 2 3" xfId="12868" xr:uid="{9FBEDCFF-777C-453D-B2A7-B801EAF20B02}"/>
    <cellStyle name="Normal 5 5 3 5 3" xfId="6491" xr:uid="{00000000-0005-0000-0000-0000851B0000}"/>
    <cellStyle name="Normal 5 5 3 5 3 2" xfId="14941" xr:uid="{4EC498E8-F0A3-4D8C-A92A-8FBDF8293FFD}"/>
    <cellStyle name="Normal 5 5 3 5 4" xfId="10723" xr:uid="{8AA31277-78EE-48B1-8343-E79D9DD57712}"/>
    <cellStyle name="Normal 5 5 3 6" xfId="2621" xr:uid="{00000000-0005-0000-0000-0000861B0000}"/>
    <cellStyle name="Normal 5 5 3 6 2" xfId="6904" xr:uid="{00000000-0005-0000-0000-0000871B0000}"/>
    <cellStyle name="Normal 5 5 3 6 2 2" xfId="15354" xr:uid="{834F9FEA-65C7-4CD0-87C6-FE6BC654FAA1}"/>
    <cellStyle name="Normal 5 5 3 6 3" xfId="11136" xr:uid="{00F7AE5F-5BED-459C-8F3A-567EB45E0261}"/>
    <cellStyle name="Normal 5 5 3 7" xfId="4839" xr:uid="{00000000-0005-0000-0000-0000881B0000}"/>
    <cellStyle name="Normal 5 5 3 7 2" xfId="13289" xr:uid="{CAB21210-E796-4780-8173-DB15251052A0}"/>
    <cellStyle name="Normal 5 5 3 8" xfId="9071" xr:uid="{3A860F5B-DC63-4FCB-9A2D-F1920D0A7202}"/>
    <cellStyle name="Normal 5 5 4" xfId="938" xr:uid="{00000000-0005-0000-0000-0000891B0000}"/>
    <cellStyle name="Normal 5 5 4 2" xfId="3172" xr:uid="{00000000-0005-0000-0000-00008A1B0000}"/>
    <cellStyle name="Normal 5 5 4 2 2" xfId="7394" xr:uid="{00000000-0005-0000-0000-00008B1B0000}"/>
    <cellStyle name="Normal 5 5 4 2 2 2" xfId="15844" xr:uid="{D4BA427A-FA21-416F-8BB9-82784CC1DDEA}"/>
    <cellStyle name="Normal 5 5 4 2 3" xfId="11626" xr:uid="{9500B9C9-CE62-41C5-A957-064BC2C9279A}"/>
    <cellStyle name="Normal 5 5 4 3" xfId="5249" xr:uid="{00000000-0005-0000-0000-00008C1B0000}"/>
    <cellStyle name="Normal 5 5 4 3 2" xfId="13699" xr:uid="{C58FFF02-9D47-431A-BC28-3435A46A1CC4}"/>
    <cellStyle name="Normal 5 5 4 4" xfId="9481" xr:uid="{BFF344A0-93FD-43E2-BF3E-EF74D5B55AC4}"/>
    <cellStyle name="Normal 5 5 5" xfId="1355" xr:uid="{00000000-0005-0000-0000-00008D1B0000}"/>
    <cellStyle name="Normal 5 5 5 2" xfId="3585" xr:uid="{00000000-0005-0000-0000-00008E1B0000}"/>
    <cellStyle name="Normal 5 5 5 2 2" xfId="7807" xr:uid="{00000000-0005-0000-0000-00008F1B0000}"/>
    <cellStyle name="Normal 5 5 5 2 2 2" xfId="16257" xr:uid="{79322A0B-0F6D-43AD-8EBB-DF6DEC4A4B87}"/>
    <cellStyle name="Normal 5 5 5 2 3" xfId="12039" xr:uid="{99A28864-E134-4A46-B6F2-35BAE8B18FD7}"/>
    <cellStyle name="Normal 5 5 5 3" xfId="5662" xr:uid="{00000000-0005-0000-0000-0000901B0000}"/>
    <cellStyle name="Normal 5 5 5 3 2" xfId="14112" xr:uid="{7757BCF7-BADB-4BA7-9629-E4AEDE660FC8}"/>
    <cellStyle name="Normal 5 5 5 4" xfId="9894" xr:uid="{FF700B48-A7BA-4401-89F2-4BBF895A06BF}"/>
    <cellStyle name="Normal 5 5 6" xfId="1768" xr:uid="{00000000-0005-0000-0000-0000911B0000}"/>
    <cellStyle name="Normal 5 5 6 2" xfId="3998" xr:uid="{00000000-0005-0000-0000-0000921B0000}"/>
    <cellStyle name="Normal 5 5 6 2 2" xfId="8220" xr:uid="{00000000-0005-0000-0000-0000931B0000}"/>
    <cellStyle name="Normal 5 5 6 2 2 2" xfId="16670" xr:uid="{A98DBD12-779C-468E-A796-A72CDE42BB3E}"/>
    <cellStyle name="Normal 5 5 6 2 3" xfId="12452" xr:uid="{0846A62D-608B-4FB1-8719-7B823C1916A5}"/>
    <cellStyle name="Normal 5 5 6 3" xfId="6075" xr:uid="{00000000-0005-0000-0000-0000941B0000}"/>
    <cellStyle name="Normal 5 5 6 3 2" xfId="14525" xr:uid="{58F33E6D-0014-4545-8C6D-86F8673D4AD3}"/>
    <cellStyle name="Normal 5 5 6 4" xfId="10307" xr:uid="{129C84C0-F20E-4D6A-8A08-06B7CFCB00D3}"/>
    <cellStyle name="Normal 5 5 7" xfId="2182" xr:uid="{00000000-0005-0000-0000-0000951B0000}"/>
    <cellStyle name="Normal 5 5 7 2" xfId="4411" xr:uid="{00000000-0005-0000-0000-0000961B0000}"/>
    <cellStyle name="Normal 5 5 7 2 2" xfId="8633" xr:uid="{00000000-0005-0000-0000-0000971B0000}"/>
    <cellStyle name="Normal 5 5 7 2 2 2" xfId="17083" xr:uid="{633CAE32-5C03-439D-831D-56FD18AE74F9}"/>
    <cellStyle name="Normal 5 5 7 2 3" xfId="12865" xr:uid="{E796F3BD-4A33-4B0A-8B80-EA53933BBA83}"/>
    <cellStyle name="Normal 5 5 7 3" xfId="6488" xr:uid="{00000000-0005-0000-0000-0000981B0000}"/>
    <cellStyle name="Normal 5 5 7 3 2" xfId="14938" xr:uid="{B77B28FF-E29D-4140-A00C-F7178055C73F}"/>
    <cellStyle name="Normal 5 5 7 4" xfId="10720" xr:uid="{1F5F1433-A3A2-45B7-A302-4E32D4DE2A87}"/>
    <cellStyle name="Normal 5 5 8" xfId="2618" xr:uid="{00000000-0005-0000-0000-0000991B0000}"/>
    <cellStyle name="Normal 5 5 8 2" xfId="6901" xr:uid="{00000000-0005-0000-0000-00009A1B0000}"/>
    <cellStyle name="Normal 5 5 8 2 2" xfId="15351" xr:uid="{D92EAF73-CE9E-487E-B53A-E598EDCC874E}"/>
    <cellStyle name="Normal 5 5 8 3" xfId="11133" xr:uid="{7A47DC20-9BF7-43D8-B309-F49A78C37E8C}"/>
    <cellStyle name="Normal 5 5 9" xfId="4836" xr:uid="{00000000-0005-0000-0000-00009B1B0000}"/>
    <cellStyle name="Normal 5 5 9 2" xfId="13286" xr:uid="{35F71D10-4281-4471-ACDA-8103EBD1F7C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4D7C56B7-2BBD-4F05-B8E0-CFFEC8F0F2BB}"/>
    <cellStyle name="Normal 5 6 2 2 2 3" xfId="11631" xr:uid="{627F2A62-1675-4C15-A639-972B87123FE8}"/>
    <cellStyle name="Normal 5 6 2 2 3" xfId="5254" xr:uid="{00000000-0005-0000-0000-0000A11B0000}"/>
    <cellStyle name="Normal 5 6 2 2 3 2" xfId="13704" xr:uid="{0C889927-5B7A-4D7A-BFFD-7E064783E5E5}"/>
    <cellStyle name="Normal 5 6 2 2 4" xfId="9486" xr:uid="{0A7BD409-34CD-49C7-8882-2C495D2EA034}"/>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3D7CC91D-9BF0-4516-A267-82F14022809D}"/>
    <cellStyle name="Normal 5 6 2 3 2 3" xfId="12044" xr:uid="{6040BC87-5A66-49E8-A66B-EEF37856FDD9}"/>
    <cellStyle name="Normal 5 6 2 3 3" xfId="5667" xr:uid="{00000000-0005-0000-0000-0000A51B0000}"/>
    <cellStyle name="Normal 5 6 2 3 3 2" xfId="14117" xr:uid="{337CCD68-B6E7-4482-9A19-F0260B2D0E55}"/>
    <cellStyle name="Normal 5 6 2 3 4" xfId="9899" xr:uid="{BA946AFA-20C8-42FD-AD38-5C1E558B5E59}"/>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591EC165-14EB-41D0-8EA7-0DED4F013209}"/>
    <cellStyle name="Normal 5 6 2 4 2 3" xfId="12457" xr:uid="{A3499F2C-A010-4E42-B983-07F9062F8FF8}"/>
    <cellStyle name="Normal 5 6 2 4 3" xfId="6080" xr:uid="{00000000-0005-0000-0000-0000A91B0000}"/>
    <cellStyle name="Normal 5 6 2 4 3 2" xfId="14530" xr:uid="{B25A15DF-C849-45E2-84C6-A090606BB3AD}"/>
    <cellStyle name="Normal 5 6 2 4 4" xfId="10312" xr:uid="{EEEE1561-2799-43A0-A984-F3A400067688}"/>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3975F089-88EE-488C-9DF7-989EEE8BCB51}"/>
    <cellStyle name="Normal 5 6 2 5 2 3" xfId="12870" xr:uid="{EBB23741-9B49-4C56-B810-99407AA0CD94}"/>
    <cellStyle name="Normal 5 6 2 5 3" xfId="6493" xr:uid="{00000000-0005-0000-0000-0000AD1B0000}"/>
    <cellStyle name="Normal 5 6 2 5 3 2" xfId="14943" xr:uid="{9EF66FF3-2A8F-4C78-97D0-3F63CAB53906}"/>
    <cellStyle name="Normal 5 6 2 5 4" xfId="10725" xr:uid="{8EBB9894-6757-4348-98DE-51A96B732D9C}"/>
    <cellStyle name="Normal 5 6 2 6" xfId="2623" xr:uid="{00000000-0005-0000-0000-0000AE1B0000}"/>
    <cellStyle name="Normal 5 6 2 6 2" xfId="6906" xr:uid="{00000000-0005-0000-0000-0000AF1B0000}"/>
    <cellStyle name="Normal 5 6 2 6 2 2" xfId="15356" xr:uid="{1FEF3D25-B351-4B89-AB45-A05421BF6C2F}"/>
    <cellStyle name="Normal 5 6 2 6 3" xfId="11138" xr:uid="{57B964B5-0669-4361-99BF-A96E6AA2DB7A}"/>
    <cellStyle name="Normal 5 6 2 7" xfId="4841" xr:uid="{00000000-0005-0000-0000-0000B01B0000}"/>
    <cellStyle name="Normal 5 6 2 7 2" xfId="13291" xr:uid="{97715B05-C724-455F-9242-C4C57768CF93}"/>
    <cellStyle name="Normal 5 6 2 8" xfId="9073" xr:uid="{E676B568-1FB0-4857-8FBD-9D4825157B0B}"/>
    <cellStyle name="Normal 5 6 3" xfId="942" xr:uid="{00000000-0005-0000-0000-0000B11B0000}"/>
    <cellStyle name="Normal 5 6 3 2" xfId="3176" xr:uid="{00000000-0005-0000-0000-0000B21B0000}"/>
    <cellStyle name="Normal 5 6 3 2 2" xfId="7398" xr:uid="{00000000-0005-0000-0000-0000B31B0000}"/>
    <cellStyle name="Normal 5 6 3 2 2 2" xfId="15848" xr:uid="{31289BBF-A4E5-481B-BFBF-53CB432BB297}"/>
    <cellStyle name="Normal 5 6 3 2 3" xfId="11630" xr:uid="{ED3C37F8-1702-4F8E-A807-088AD16A7D20}"/>
    <cellStyle name="Normal 5 6 3 3" xfId="5253" xr:uid="{00000000-0005-0000-0000-0000B41B0000}"/>
    <cellStyle name="Normal 5 6 3 3 2" xfId="13703" xr:uid="{38D277A1-BA1B-4777-9135-9BE1F3352D5D}"/>
    <cellStyle name="Normal 5 6 3 4" xfId="9485" xr:uid="{AC3648CC-36A6-4A0A-9FBF-E71CFE03039F}"/>
    <cellStyle name="Normal 5 6 4" xfId="1359" xr:uid="{00000000-0005-0000-0000-0000B51B0000}"/>
    <cellStyle name="Normal 5 6 4 2" xfId="3589" xr:uid="{00000000-0005-0000-0000-0000B61B0000}"/>
    <cellStyle name="Normal 5 6 4 2 2" xfId="7811" xr:uid="{00000000-0005-0000-0000-0000B71B0000}"/>
    <cellStyle name="Normal 5 6 4 2 2 2" xfId="16261" xr:uid="{5D7DF974-4A4D-4E2F-BBB6-03C73F49FE9B}"/>
    <cellStyle name="Normal 5 6 4 2 3" xfId="12043" xr:uid="{CAE32062-D0F4-458F-A7E3-75A2B9C0853D}"/>
    <cellStyle name="Normal 5 6 4 3" xfId="5666" xr:uid="{00000000-0005-0000-0000-0000B81B0000}"/>
    <cellStyle name="Normal 5 6 4 3 2" xfId="14116" xr:uid="{0E4973A6-863D-4F46-8742-7DBCBB7E187F}"/>
    <cellStyle name="Normal 5 6 4 4" xfId="9898" xr:uid="{E1BFAA28-0404-49E3-949F-AA8303B2101C}"/>
    <cellStyle name="Normal 5 6 5" xfId="1772" xr:uid="{00000000-0005-0000-0000-0000B91B0000}"/>
    <cellStyle name="Normal 5 6 5 2" xfId="4002" xr:uid="{00000000-0005-0000-0000-0000BA1B0000}"/>
    <cellStyle name="Normal 5 6 5 2 2" xfId="8224" xr:uid="{00000000-0005-0000-0000-0000BB1B0000}"/>
    <cellStyle name="Normal 5 6 5 2 2 2" xfId="16674" xr:uid="{4ED7E661-1B0A-482A-930C-3B46D730197B}"/>
    <cellStyle name="Normal 5 6 5 2 3" xfId="12456" xr:uid="{AC7DB022-8F22-4A56-A58E-EBD1B00CA513}"/>
    <cellStyle name="Normal 5 6 5 3" xfId="6079" xr:uid="{00000000-0005-0000-0000-0000BC1B0000}"/>
    <cellStyle name="Normal 5 6 5 3 2" xfId="14529" xr:uid="{1A08D72E-ADD6-4075-8A1D-2417DD509AD6}"/>
    <cellStyle name="Normal 5 6 5 4" xfId="10311" xr:uid="{407B110A-3668-4585-AF2B-5142E14BEB5F}"/>
    <cellStyle name="Normal 5 6 6" xfId="2186" xr:uid="{00000000-0005-0000-0000-0000BD1B0000}"/>
    <cellStyle name="Normal 5 6 6 2" xfId="4415" xr:uid="{00000000-0005-0000-0000-0000BE1B0000}"/>
    <cellStyle name="Normal 5 6 6 2 2" xfId="8637" xr:uid="{00000000-0005-0000-0000-0000BF1B0000}"/>
    <cellStyle name="Normal 5 6 6 2 2 2" xfId="17087" xr:uid="{75D6B41E-7F9E-4F42-8DBE-6931047C62E1}"/>
    <cellStyle name="Normal 5 6 6 2 3" xfId="12869" xr:uid="{040CB19D-4CB9-42C3-BF01-CBB88EFE3E86}"/>
    <cellStyle name="Normal 5 6 6 3" xfId="6492" xr:uid="{00000000-0005-0000-0000-0000C01B0000}"/>
    <cellStyle name="Normal 5 6 6 3 2" xfId="14942" xr:uid="{F17F20A4-D223-424D-807E-2E1DCE0FBDB7}"/>
    <cellStyle name="Normal 5 6 6 4" xfId="10724" xr:uid="{6685C834-B703-4D03-ADBD-9D5614DB6492}"/>
    <cellStyle name="Normal 5 6 7" xfId="2622" xr:uid="{00000000-0005-0000-0000-0000C11B0000}"/>
    <cellStyle name="Normal 5 6 7 2" xfId="6905" xr:uid="{00000000-0005-0000-0000-0000C21B0000}"/>
    <cellStyle name="Normal 5 6 7 2 2" xfId="15355" xr:uid="{38A52F83-1537-499E-8877-D22BB05A3050}"/>
    <cellStyle name="Normal 5 6 7 3" xfId="11137" xr:uid="{4C89BEC1-0A5F-440C-964D-0878B30B05F7}"/>
    <cellStyle name="Normal 5 6 8" xfId="4840" xr:uid="{00000000-0005-0000-0000-0000C31B0000}"/>
    <cellStyle name="Normal 5 6 8 2" xfId="13290" xr:uid="{F05B7F1B-55AC-425A-9CA9-4BA842DB4F79}"/>
    <cellStyle name="Normal 5 6 9" xfId="9072" xr:uid="{4E9081BA-6FD1-4CE4-9523-21165364C85D}"/>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3BB58C14-AF74-4F79-9074-FA04153F860C}"/>
    <cellStyle name="Normal 5 7 2 2 3" xfId="11632" xr:uid="{007BF5FE-40BD-4B19-AE70-79CE79FF08E7}"/>
    <cellStyle name="Normal 5 7 2 3" xfId="5255" xr:uid="{00000000-0005-0000-0000-0000C81B0000}"/>
    <cellStyle name="Normal 5 7 2 3 2" xfId="13705" xr:uid="{B0BA3D65-07CE-463E-8185-2BE7741EDDC1}"/>
    <cellStyle name="Normal 5 7 2 4" xfId="9487" xr:uid="{072E4E97-5213-4891-B6E5-CB236FB770C0}"/>
    <cellStyle name="Normal 5 7 3" xfId="1361" xr:uid="{00000000-0005-0000-0000-0000C91B0000}"/>
    <cellStyle name="Normal 5 7 3 2" xfId="3591" xr:uid="{00000000-0005-0000-0000-0000CA1B0000}"/>
    <cellStyle name="Normal 5 7 3 2 2" xfId="7813" xr:uid="{00000000-0005-0000-0000-0000CB1B0000}"/>
    <cellStyle name="Normal 5 7 3 2 2 2" xfId="16263" xr:uid="{C4492FC6-1CCB-48E8-89BB-444F01A7ED14}"/>
    <cellStyle name="Normal 5 7 3 2 3" xfId="12045" xr:uid="{16460811-F5A2-4300-96E5-A0395E6C4F61}"/>
    <cellStyle name="Normal 5 7 3 3" xfId="5668" xr:uid="{00000000-0005-0000-0000-0000CC1B0000}"/>
    <cellStyle name="Normal 5 7 3 3 2" xfId="14118" xr:uid="{12DF43CF-DEAF-46D5-B00B-41D5B56842CC}"/>
    <cellStyle name="Normal 5 7 3 4" xfId="9900" xr:uid="{524EDF69-C8EA-4F89-A8DA-1AB5916950C3}"/>
    <cellStyle name="Normal 5 7 4" xfId="1774" xr:uid="{00000000-0005-0000-0000-0000CD1B0000}"/>
    <cellStyle name="Normal 5 7 4 2" xfId="4004" xr:uid="{00000000-0005-0000-0000-0000CE1B0000}"/>
    <cellStyle name="Normal 5 7 4 2 2" xfId="8226" xr:uid="{00000000-0005-0000-0000-0000CF1B0000}"/>
    <cellStyle name="Normal 5 7 4 2 2 2" xfId="16676" xr:uid="{42D74FBC-C5C0-4640-AF9D-26E799C30A10}"/>
    <cellStyle name="Normal 5 7 4 2 3" xfId="12458" xr:uid="{6AB35D9C-F27B-463E-8AF5-45856FF4103D}"/>
    <cellStyle name="Normal 5 7 4 3" xfId="6081" xr:uid="{00000000-0005-0000-0000-0000D01B0000}"/>
    <cellStyle name="Normal 5 7 4 3 2" xfId="14531" xr:uid="{8184D488-86E5-43BF-926C-11C7BBB1855B}"/>
    <cellStyle name="Normal 5 7 4 4" xfId="10313" xr:uid="{CAEB2DC0-D5A8-4892-AEE8-364163696B80}"/>
    <cellStyle name="Normal 5 7 5" xfId="2188" xr:uid="{00000000-0005-0000-0000-0000D11B0000}"/>
    <cellStyle name="Normal 5 7 5 2" xfId="4417" xr:uid="{00000000-0005-0000-0000-0000D21B0000}"/>
    <cellStyle name="Normal 5 7 5 2 2" xfId="8639" xr:uid="{00000000-0005-0000-0000-0000D31B0000}"/>
    <cellStyle name="Normal 5 7 5 2 2 2" xfId="17089" xr:uid="{63A6F8F7-8519-4BC4-98D3-B828A9346999}"/>
    <cellStyle name="Normal 5 7 5 2 3" xfId="12871" xr:uid="{C12DAFBB-FEE4-4216-8CAE-0058C2853820}"/>
    <cellStyle name="Normal 5 7 5 3" xfId="6494" xr:uid="{00000000-0005-0000-0000-0000D41B0000}"/>
    <cellStyle name="Normal 5 7 5 3 2" xfId="14944" xr:uid="{14599A87-2034-4997-B438-8CBF7CAE15C6}"/>
    <cellStyle name="Normal 5 7 5 4" xfId="10726" xr:uid="{B49E945B-73B5-489A-948B-764A00388B90}"/>
    <cellStyle name="Normal 5 7 6" xfId="2624" xr:uid="{00000000-0005-0000-0000-0000D51B0000}"/>
    <cellStyle name="Normal 5 7 6 2" xfId="6907" xr:uid="{00000000-0005-0000-0000-0000D61B0000}"/>
    <cellStyle name="Normal 5 7 6 2 2" xfId="15357" xr:uid="{3916C3B2-FB1D-440C-94D4-725A135D76F0}"/>
    <cellStyle name="Normal 5 7 6 3" xfId="11139" xr:uid="{9E6ABB3B-F4A5-4610-96B1-36E71A8C4A58}"/>
    <cellStyle name="Normal 5 7 7" xfId="4842" xr:uid="{00000000-0005-0000-0000-0000D71B0000}"/>
    <cellStyle name="Normal 5 7 7 2" xfId="13292" xr:uid="{B9FBC789-35C0-407F-AAFB-9D4D88EDAF28}"/>
    <cellStyle name="Normal 5 7 8" xfId="9074" xr:uid="{98D530AB-2AA1-44AD-9338-01CC2CB89D45}"/>
    <cellStyle name="Normal 5 8" xfId="880" xr:uid="{00000000-0005-0000-0000-0000D81B0000}"/>
    <cellStyle name="Normal 5 8 2" xfId="3115" xr:uid="{00000000-0005-0000-0000-0000D91B0000}"/>
    <cellStyle name="Normal 5 8 2 2" xfId="7337" xr:uid="{00000000-0005-0000-0000-0000DA1B0000}"/>
    <cellStyle name="Normal 5 8 2 2 2" xfId="15787" xr:uid="{667A9085-2BA1-439A-BB3C-3AEEDAC810EB}"/>
    <cellStyle name="Normal 5 8 2 3" xfId="11569" xr:uid="{D5E8E4E9-09E1-4B0C-99CC-6757E1C44553}"/>
    <cellStyle name="Normal 5 8 3" xfId="5192" xr:uid="{00000000-0005-0000-0000-0000DB1B0000}"/>
    <cellStyle name="Normal 5 8 3 2" xfId="13642" xr:uid="{F65EE85F-52B6-4161-B02E-75F943FAA613}"/>
    <cellStyle name="Normal 5 8 4" xfId="9424" xr:uid="{4AFF3C23-8AB4-42DB-9159-3BEB08289ACA}"/>
    <cellStyle name="Normal 5 9" xfId="1298" xr:uid="{00000000-0005-0000-0000-0000DC1B0000}"/>
    <cellStyle name="Normal 5 9 2" xfId="3528" xr:uid="{00000000-0005-0000-0000-0000DD1B0000}"/>
    <cellStyle name="Normal 5 9 2 2" xfId="7750" xr:uid="{00000000-0005-0000-0000-0000DE1B0000}"/>
    <cellStyle name="Normal 5 9 2 2 2" xfId="16200" xr:uid="{A0C6F1C8-ABBC-4EC9-8E1C-A95A1E742E66}"/>
    <cellStyle name="Normal 5 9 2 3" xfId="11982" xr:uid="{5B8B6B25-BB67-44D5-8FC0-FE00C9C4DE3F}"/>
    <cellStyle name="Normal 5 9 3" xfId="5605" xr:uid="{00000000-0005-0000-0000-0000DF1B0000}"/>
    <cellStyle name="Normal 5 9 3 2" xfId="14055" xr:uid="{0EC0DAD1-6A8F-4398-9ECC-62875C3D557C}"/>
    <cellStyle name="Normal 5 9 4" xfId="9837" xr:uid="{09B9E101-1000-4059-805C-E8B57069F68C}"/>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8E7F1DF-FF5B-4CCD-A5B0-635C83093691}"/>
    <cellStyle name="Normal 8 10 2 3" xfId="12872" xr:uid="{DE30C11A-4A84-41FB-AD1E-250830CA2033}"/>
    <cellStyle name="Normal 8 10 3" xfId="6495" xr:uid="{00000000-0005-0000-0000-0000EB1B0000}"/>
    <cellStyle name="Normal 8 10 3 2" xfId="14945" xr:uid="{9365832D-0AC7-4600-94E5-CCEEEBEEA5ED}"/>
    <cellStyle name="Normal 8 10 4" xfId="10727" xr:uid="{8F1A7482-5625-4967-A8E0-958100B918CC}"/>
    <cellStyle name="Normal 8 11" xfId="2625" xr:uid="{00000000-0005-0000-0000-0000EC1B0000}"/>
    <cellStyle name="Normal 8 11 2" xfId="6908" xr:uid="{00000000-0005-0000-0000-0000ED1B0000}"/>
    <cellStyle name="Normal 8 11 2 2" xfId="15358" xr:uid="{B39A088B-CF29-4B67-B800-BD5CA76F9B98}"/>
    <cellStyle name="Normal 8 11 3" xfId="11140" xr:uid="{3294ADA5-BE33-476D-99CF-5C50756A6E6C}"/>
    <cellStyle name="Normal 8 12" xfId="4843" xr:uid="{00000000-0005-0000-0000-0000EE1B0000}"/>
    <cellStyle name="Normal 8 12 2" xfId="13293" xr:uid="{24D7BECE-60A6-4331-9639-0CD9527F2F0A}"/>
    <cellStyle name="Normal 8 13" xfId="9075" xr:uid="{7BFFBE5B-26FE-495F-BCC0-9614A00C8441}"/>
    <cellStyle name="Normal 8 2" xfId="479" xr:uid="{00000000-0005-0000-0000-0000EF1B0000}"/>
    <cellStyle name="Normal 8 2 10" xfId="2626" xr:uid="{00000000-0005-0000-0000-0000F01B0000}"/>
    <cellStyle name="Normal 8 2 10 2" xfId="6909" xr:uid="{00000000-0005-0000-0000-0000F11B0000}"/>
    <cellStyle name="Normal 8 2 10 2 2" xfId="15359" xr:uid="{B82D2515-A8C0-464B-9574-E99F577E676A}"/>
    <cellStyle name="Normal 8 2 10 3" xfId="11141" xr:uid="{4B2537FF-F1B5-4D64-98E5-AB93878CF383}"/>
    <cellStyle name="Normal 8 2 11" xfId="4844" xr:uid="{00000000-0005-0000-0000-0000F21B0000}"/>
    <cellStyle name="Normal 8 2 11 2" xfId="13294" xr:uid="{F7184B85-43BC-449B-8475-B482FE3F59F3}"/>
    <cellStyle name="Normal 8 2 12" xfId="9076" xr:uid="{BFC1143B-D5D9-4525-924D-80E012E7A58D}"/>
    <cellStyle name="Normal 8 2 2" xfId="480" xr:uid="{00000000-0005-0000-0000-0000F31B0000}"/>
    <cellStyle name="Normal 8 2 2 10" xfId="4845" xr:uid="{00000000-0005-0000-0000-0000F41B0000}"/>
    <cellStyle name="Normal 8 2 2 10 2" xfId="13295" xr:uid="{A1C5BF34-0FEA-4BD7-A441-3EDCA27FB567}"/>
    <cellStyle name="Normal 8 2 2 11" xfId="9077" xr:uid="{CDD0B544-049D-4E20-A31C-3838382CE3C1}"/>
    <cellStyle name="Normal 8 2 2 2" xfId="481" xr:uid="{00000000-0005-0000-0000-0000F51B0000}"/>
    <cellStyle name="Normal 8 2 2 2 10" xfId="9078" xr:uid="{9F02FA25-2190-4CC1-A40B-5BA621753CF6}"/>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0F6628E-A7DA-43B9-BF23-8BA36FDBE79F}"/>
    <cellStyle name="Normal 8 2 2 2 2 2 2 2 3" xfId="11638" xr:uid="{5533E045-8989-4FF6-9748-0534777B4CA2}"/>
    <cellStyle name="Normal 8 2 2 2 2 2 2 3" xfId="5261" xr:uid="{00000000-0005-0000-0000-0000FB1B0000}"/>
    <cellStyle name="Normal 8 2 2 2 2 2 2 3 2" xfId="13711" xr:uid="{D353502D-CD1B-4FE4-A25C-A8524BBD335B}"/>
    <cellStyle name="Normal 8 2 2 2 2 2 2 4" xfId="9493" xr:uid="{B044153B-4DF3-4649-B41F-B038D1906FE2}"/>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545609FB-FDF1-44AC-A40F-F969D55BBCFB}"/>
    <cellStyle name="Normal 8 2 2 2 2 2 3 2 3" xfId="12051" xr:uid="{2F0CC9DF-EB4F-4D34-86C5-34424E6A37AA}"/>
    <cellStyle name="Normal 8 2 2 2 2 2 3 3" xfId="5674" xr:uid="{00000000-0005-0000-0000-0000FF1B0000}"/>
    <cellStyle name="Normal 8 2 2 2 2 2 3 3 2" xfId="14124" xr:uid="{E8CF9EAB-0E02-4858-8657-6E5F0354F325}"/>
    <cellStyle name="Normal 8 2 2 2 2 2 3 4" xfId="9906" xr:uid="{2AEA31FF-D976-45FF-A5E7-A7D358DFA65F}"/>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C689331E-E07E-40A8-A36E-7B2C1D055A3A}"/>
    <cellStyle name="Normal 8 2 2 2 2 2 4 2 3" xfId="12464" xr:uid="{43FAC548-9072-43D6-8928-DB495351561B}"/>
    <cellStyle name="Normal 8 2 2 2 2 2 4 3" xfId="6087" xr:uid="{00000000-0005-0000-0000-0000031C0000}"/>
    <cellStyle name="Normal 8 2 2 2 2 2 4 3 2" xfId="14537" xr:uid="{A8F343E5-D1FA-4094-99E0-78C891B1DC1D}"/>
    <cellStyle name="Normal 8 2 2 2 2 2 4 4" xfId="10319" xr:uid="{A989345B-AF6F-4772-94B9-873C25AB5855}"/>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A9E8205C-F3F8-43AA-8501-DEA6D6E9EE90}"/>
    <cellStyle name="Normal 8 2 2 2 2 2 5 2 3" xfId="12877" xr:uid="{F7355B5B-4D28-4AC3-A3B5-2B1F173EAF90}"/>
    <cellStyle name="Normal 8 2 2 2 2 2 5 3" xfId="6500" xr:uid="{00000000-0005-0000-0000-0000071C0000}"/>
    <cellStyle name="Normal 8 2 2 2 2 2 5 3 2" xfId="14950" xr:uid="{0629986E-C0E0-489A-A6E5-B4E1CA0448D5}"/>
    <cellStyle name="Normal 8 2 2 2 2 2 5 4" xfId="10732" xr:uid="{90C001BF-BF34-4127-9051-292D0DA171C7}"/>
    <cellStyle name="Normal 8 2 2 2 2 2 6" xfId="2630" xr:uid="{00000000-0005-0000-0000-0000081C0000}"/>
    <cellStyle name="Normal 8 2 2 2 2 2 6 2" xfId="6913" xr:uid="{00000000-0005-0000-0000-0000091C0000}"/>
    <cellStyle name="Normal 8 2 2 2 2 2 6 2 2" xfId="15363" xr:uid="{0C00E86C-B782-4FC2-BE8C-5B8BC0172BC4}"/>
    <cellStyle name="Normal 8 2 2 2 2 2 6 3" xfId="11145" xr:uid="{6F71F325-62C9-43D2-8773-0375CED17B1A}"/>
    <cellStyle name="Normal 8 2 2 2 2 2 7" xfId="4848" xr:uid="{00000000-0005-0000-0000-00000A1C0000}"/>
    <cellStyle name="Normal 8 2 2 2 2 2 7 2" xfId="13298" xr:uid="{1288C48F-5A9F-45A0-9422-133346EC1282}"/>
    <cellStyle name="Normal 8 2 2 2 2 2 8" xfId="9080" xr:uid="{91DE0853-81E3-4931-8D21-60590D9956D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2826D79B-DD96-42EA-BA1E-E5DCF6A45E36}"/>
    <cellStyle name="Normal 8 2 2 2 2 3 2 3" xfId="11637" xr:uid="{E632FBF1-F04E-4036-9E7A-081030AA1B69}"/>
    <cellStyle name="Normal 8 2 2 2 2 3 3" xfId="5260" xr:uid="{00000000-0005-0000-0000-00000E1C0000}"/>
    <cellStyle name="Normal 8 2 2 2 2 3 3 2" xfId="13710" xr:uid="{78FEF0E0-EE5A-46CE-878B-43A51DD9C9CA}"/>
    <cellStyle name="Normal 8 2 2 2 2 3 4" xfId="9492" xr:uid="{4072045B-FFE9-4A89-B999-78DB7B0B4B8E}"/>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5B02984E-9025-4EBC-9707-07F0739184BA}"/>
    <cellStyle name="Normal 8 2 2 2 2 4 2 3" xfId="12050" xr:uid="{CDAB4293-1BE8-49F6-9BD4-EFEFE9410CC5}"/>
    <cellStyle name="Normal 8 2 2 2 2 4 3" xfId="5673" xr:uid="{00000000-0005-0000-0000-0000121C0000}"/>
    <cellStyle name="Normal 8 2 2 2 2 4 3 2" xfId="14123" xr:uid="{7537B886-8948-4CE1-85FE-E2C9069B8FAD}"/>
    <cellStyle name="Normal 8 2 2 2 2 4 4" xfId="9905" xr:uid="{4E0F0E63-A46F-450E-9C27-585837B15F8B}"/>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0F46AAD6-2E94-415C-8F19-A4A15B834FFF}"/>
    <cellStyle name="Normal 8 2 2 2 2 5 2 3" xfId="12463" xr:uid="{91C9E07C-22EC-484A-874F-FAE0C59F6FF9}"/>
    <cellStyle name="Normal 8 2 2 2 2 5 3" xfId="6086" xr:uid="{00000000-0005-0000-0000-0000161C0000}"/>
    <cellStyle name="Normal 8 2 2 2 2 5 3 2" xfId="14536" xr:uid="{234681E2-6ED3-4DEA-ADEB-570A7D93376F}"/>
    <cellStyle name="Normal 8 2 2 2 2 5 4" xfId="10318" xr:uid="{495EF3C6-7639-4D10-9798-D100C4CAB238}"/>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54382800-F082-4810-9770-4D9B45DBAF99}"/>
    <cellStyle name="Normal 8 2 2 2 2 6 2 3" xfId="12876" xr:uid="{17C19220-1C16-4AFE-94BB-8EAD255955EA}"/>
    <cellStyle name="Normal 8 2 2 2 2 6 3" xfId="6499" xr:uid="{00000000-0005-0000-0000-00001A1C0000}"/>
    <cellStyle name="Normal 8 2 2 2 2 6 3 2" xfId="14949" xr:uid="{40F03CD3-411A-44FA-AFBA-786BDB2ECC06}"/>
    <cellStyle name="Normal 8 2 2 2 2 6 4" xfId="10731" xr:uid="{FCCFEA5B-9CC3-45F8-A45E-758E7005109B}"/>
    <cellStyle name="Normal 8 2 2 2 2 7" xfId="2629" xr:uid="{00000000-0005-0000-0000-00001B1C0000}"/>
    <cellStyle name="Normal 8 2 2 2 2 7 2" xfId="6912" xr:uid="{00000000-0005-0000-0000-00001C1C0000}"/>
    <cellStyle name="Normal 8 2 2 2 2 7 2 2" xfId="15362" xr:uid="{41C64CD9-E469-43E3-AC5A-8725634A54F2}"/>
    <cellStyle name="Normal 8 2 2 2 2 7 3" xfId="11144" xr:uid="{3E90ED17-8FDC-4889-B0FA-A3E22FAC780C}"/>
    <cellStyle name="Normal 8 2 2 2 2 8" xfId="4847" xr:uid="{00000000-0005-0000-0000-00001D1C0000}"/>
    <cellStyle name="Normal 8 2 2 2 2 8 2" xfId="13297" xr:uid="{C05266B8-062A-4E9A-93B7-8FC2147EDB3E}"/>
    <cellStyle name="Normal 8 2 2 2 2 9" xfId="9079" xr:uid="{090F7782-D81B-4ACE-9226-7E432B82A001}"/>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16218FAA-2C32-401B-AF0E-A00F7E9BEB62}"/>
    <cellStyle name="Normal 8 2 2 2 3 2 2 3" xfId="11639" xr:uid="{940ED661-F14E-453D-863D-B4F7E2FFCDF0}"/>
    <cellStyle name="Normal 8 2 2 2 3 2 3" xfId="5262" xr:uid="{00000000-0005-0000-0000-0000221C0000}"/>
    <cellStyle name="Normal 8 2 2 2 3 2 3 2" xfId="13712" xr:uid="{27931596-3556-49CE-888B-120FC9454790}"/>
    <cellStyle name="Normal 8 2 2 2 3 2 4" xfId="9494" xr:uid="{E014554F-8804-4D21-9C26-0F3C18D5528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98BC71BE-AC04-4FBC-8B56-DE52B578305C}"/>
    <cellStyle name="Normal 8 2 2 2 3 3 2 3" xfId="12052" xr:uid="{F8272963-AAF8-4179-BF63-A3AFC276FEF1}"/>
    <cellStyle name="Normal 8 2 2 2 3 3 3" xfId="5675" xr:uid="{00000000-0005-0000-0000-0000261C0000}"/>
    <cellStyle name="Normal 8 2 2 2 3 3 3 2" xfId="14125" xr:uid="{EF484FB5-8D13-4AA8-BBA4-E007C035018B}"/>
    <cellStyle name="Normal 8 2 2 2 3 3 4" xfId="9907" xr:uid="{151826A2-FF1C-44A3-A0ED-0AD559805B6A}"/>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B1DAA6AA-D380-4788-BB45-4ED49AF7B238}"/>
    <cellStyle name="Normal 8 2 2 2 3 4 2 3" xfId="12465" xr:uid="{6CF2FF29-807C-4D7E-8413-C195C6C97F7F}"/>
    <cellStyle name="Normal 8 2 2 2 3 4 3" xfId="6088" xr:uid="{00000000-0005-0000-0000-00002A1C0000}"/>
    <cellStyle name="Normal 8 2 2 2 3 4 3 2" xfId="14538" xr:uid="{9E88E61D-8282-455F-B63B-820C2E6B3C43}"/>
    <cellStyle name="Normal 8 2 2 2 3 4 4" xfId="10320" xr:uid="{7BE272B3-9C85-4EC0-9000-1434A6EA884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1D46549A-C18A-4B66-A5F7-D50543DE597A}"/>
    <cellStyle name="Normal 8 2 2 2 3 5 2 3" xfId="12878" xr:uid="{C07CC572-3732-4BFC-AC0D-9990AFB8D381}"/>
    <cellStyle name="Normal 8 2 2 2 3 5 3" xfId="6501" xr:uid="{00000000-0005-0000-0000-00002E1C0000}"/>
    <cellStyle name="Normal 8 2 2 2 3 5 3 2" xfId="14951" xr:uid="{F8C7EBC8-B5A6-4253-A81D-4F234B8E49D5}"/>
    <cellStyle name="Normal 8 2 2 2 3 5 4" xfId="10733" xr:uid="{9151DD5A-FBE5-41BA-A896-2C5D4FC38ED3}"/>
    <cellStyle name="Normal 8 2 2 2 3 6" xfId="2631" xr:uid="{00000000-0005-0000-0000-00002F1C0000}"/>
    <cellStyle name="Normal 8 2 2 2 3 6 2" xfId="6914" xr:uid="{00000000-0005-0000-0000-0000301C0000}"/>
    <cellStyle name="Normal 8 2 2 2 3 6 2 2" xfId="15364" xr:uid="{CCE1CC54-408C-46B6-A9A9-0D07E1AB27D8}"/>
    <cellStyle name="Normal 8 2 2 2 3 6 3" xfId="11146" xr:uid="{EC059E15-EB4B-4F54-9FB1-C5A06A40F496}"/>
    <cellStyle name="Normal 8 2 2 2 3 7" xfId="4849" xr:uid="{00000000-0005-0000-0000-0000311C0000}"/>
    <cellStyle name="Normal 8 2 2 2 3 7 2" xfId="13299" xr:uid="{095D2DBE-B531-4579-90CC-6CBD58751531}"/>
    <cellStyle name="Normal 8 2 2 2 3 8" xfId="9081" xr:uid="{20FE7482-46A8-471E-8328-762A195915C1}"/>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61F1E5B4-79FD-461B-8EBA-35546823ED7E}"/>
    <cellStyle name="Normal 8 2 2 2 4 2 3" xfId="11636" xr:uid="{9BE2D001-6FDE-4DD1-B35F-77F1E2F57F03}"/>
    <cellStyle name="Normal 8 2 2 2 4 3" xfId="5259" xr:uid="{00000000-0005-0000-0000-0000351C0000}"/>
    <cellStyle name="Normal 8 2 2 2 4 3 2" xfId="13709" xr:uid="{84D36913-577F-494B-87E0-79608133278A}"/>
    <cellStyle name="Normal 8 2 2 2 4 4" xfId="9491" xr:uid="{C98537FC-613C-4414-9905-CA4728346DA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8759CF5F-801E-4156-8710-8C3E20EF7726}"/>
    <cellStyle name="Normal 8 2 2 2 5 2 3" xfId="12049" xr:uid="{67BA0858-A0FA-4717-B30A-BCF757A7127B}"/>
    <cellStyle name="Normal 8 2 2 2 5 3" xfId="5672" xr:uid="{00000000-0005-0000-0000-0000391C0000}"/>
    <cellStyle name="Normal 8 2 2 2 5 3 2" xfId="14122" xr:uid="{8EB717B9-19A2-4B12-9234-B8770B37620F}"/>
    <cellStyle name="Normal 8 2 2 2 5 4" xfId="9904" xr:uid="{5838672E-E75C-4976-BA70-76E5498369C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2987DA1F-4F69-44B5-A5A8-ADAD6B80EB4F}"/>
    <cellStyle name="Normal 8 2 2 2 6 2 3" xfId="12462" xr:uid="{EEBB700C-F60B-4E00-8159-82D3E47CA5A5}"/>
    <cellStyle name="Normal 8 2 2 2 6 3" xfId="6085" xr:uid="{00000000-0005-0000-0000-00003D1C0000}"/>
    <cellStyle name="Normal 8 2 2 2 6 3 2" xfId="14535" xr:uid="{4E59B482-618B-4B6C-AFEB-ED1189933E99}"/>
    <cellStyle name="Normal 8 2 2 2 6 4" xfId="10317" xr:uid="{C8F1C1B5-2B89-4549-B392-4549CEE2D75F}"/>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90EFA5F9-F1EA-48E8-9431-AF44EF66F422}"/>
    <cellStyle name="Normal 8 2 2 2 7 2 3" xfId="12875" xr:uid="{2FED267B-C9BD-4605-A22C-32DAF3C03A06}"/>
    <cellStyle name="Normal 8 2 2 2 7 3" xfId="6498" xr:uid="{00000000-0005-0000-0000-0000411C0000}"/>
    <cellStyle name="Normal 8 2 2 2 7 3 2" xfId="14948" xr:uid="{20B4535E-F1DE-459D-8600-E36160AF430E}"/>
    <cellStyle name="Normal 8 2 2 2 7 4" xfId="10730" xr:uid="{3D7669B8-745B-414F-B634-AD9CCF5D8DF3}"/>
    <cellStyle name="Normal 8 2 2 2 8" xfId="2628" xr:uid="{00000000-0005-0000-0000-0000421C0000}"/>
    <cellStyle name="Normal 8 2 2 2 8 2" xfId="6911" xr:uid="{00000000-0005-0000-0000-0000431C0000}"/>
    <cellStyle name="Normal 8 2 2 2 8 2 2" xfId="15361" xr:uid="{48B7F331-A165-4AEE-8E6B-8240550BBCE4}"/>
    <cellStyle name="Normal 8 2 2 2 8 3" xfId="11143" xr:uid="{B4EA5B71-1104-448A-AE9E-F4A93D9558C7}"/>
    <cellStyle name="Normal 8 2 2 2 9" xfId="4846" xr:uid="{00000000-0005-0000-0000-0000441C0000}"/>
    <cellStyle name="Normal 8 2 2 2 9 2" xfId="13296" xr:uid="{2685ACAC-F9E1-4934-B2CF-593BC264873B}"/>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B5355DE4-C11D-4D64-BB69-D12E87F42C9D}"/>
    <cellStyle name="Normal 8 2 2 3 2 2 2 3" xfId="11641" xr:uid="{11D74E49-5991-4803-A7BC-BEC85FB1EFF7}"/>
    <cellStyle name="Normal 8 2 2 3 2 2 3" xfId="5264" xr:uid="{00000000-0005-0000-0000-00004A1C0000}"/>
    <cellStyle name="Normal 8 2 2 3 2 2 3 2" xfId="13714" xr:uid="{1768834E-A3E6-4B1E-981F-A7955B181FBE}"/>
    <cellStyle name="Normal 8 2 2 3 2 2 4" xfId="9496" xr:uid="{704C1F3C-5324-4C80-ACDC-21F8E77E40C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0827AAAA-97B5-434C-A2BA-5B50E12F6865}"/>
    <cellStyle name="Normal 8 2 2 3 2 3 2 3" xfId="12054" xr:uid="{2AE949FB-A9EE-4CF8-B617-D5FF3C720598}"/>
    <cellStyle name="Normal 8 2 2 3 2 3 3" xfId="5677" xr:uid="{00000000-0005-0000-0000-00004E1C0000}"/>
    <cellStyle name="Normal 8 2 2 3 2 3 3 2" xfId="14127" xr:uid="{732BFD58-5D21-4095-BC5F-F1A8BEB841C3}"/>
    <cellStyle name="Normal 8 2 2 3 2 3 4" xfId="9909" xr:uid="{8E9FE4AD-C033-49BB-BF9C-65CBF57AA65C}"/>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6D655359-6C5E-4DC1-BE61-809076364AA9}"/>
    <cellStyle name="Normal 8 2 2 3 2 4 2 3" xfId="12467" xr:uid="{39F497B1-7E43-43BE-B4D2-C1E9798A8E9A}"/>
    <cellStyle name="Normal 8 2 2 3 2 4 3" xfId="6090" xr:uid="{00000000-0005-0000-0000-0000521C0000}"/>
    <cellStyle name="Normal 8 2 2 3 2 4 3 2" xfId="14540" xr:uid="{B68BD3DB-D86E-4014-891C-DCA88AD868BA}"/>
    <cellStyle name="Normal 8 2 2 3 2 4 4" xfId="10322" xr:uid="{BCD2DA05-F9DF-4F9D-BA10-926F07CFBCC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6ABA7697-0560-46FF-AFC2-DBCDD128BC73}"/>
    <cellStyle name="Normal 8 2 2 3 2 5 2 3" xfId="12880" xr:uid="{00B10AD6-2986-4D9F-BF7A-831CBEAE93C1}"/>
    <cellStyle name="Normal 8 2 2 3 2 5 3" xfId="6503" xr:uid="{00000000-0005-0000-0000-0000561C0000}"/>
    <cellStyle name="Normal 8 2 2 3 2 5 3 2" xfId="14953" xr:uid="{7DB05992-358C-405E-8672-AD5A937119D9}"/>
    <cellStyle name="Normal 8 2 2 3 2 5 4" xfId="10735" xr:uid="{F95BB105-3491-4DD7-AA21-8C38EBAC70E3}"/>
    <cellStyle name="Normal 8 2 2 3 2 6" xfId="2633" xr:uid="{00000000-0005-0000-0000-0000571C0000}"/>
    <cellStyle name="Normal 8 2 2 3 2 6 2" xfId="6916" xr:uid="{00000000-0005-0000-0000-0000581C0000}"/>
    <cellStyle name="Normal 8 2 2 3 2 6 2 2" xfId="15366" xr:uid="{377698A5-DBE9-491E-8A56-0BE94F727840}"/>
    <cellStyle name="Normal 8 2 2 3 2 6 3" xfId="11148" xr:uid="{F0FE082E-C091-49A5-82A3-1A3520CF603E}"/>
    <cellStyle name="Normal 8 2 2 3 2 7" xfId="4851" xr:uid="{00000000-0005-0000-0000-0000591C0000}"/>
    <cellStyle name="Normal 8 2 2 3 2 7 2" xfId="13301" xr:uid="{489E4E7C-5213-41BA-9917-DDEA0E2EEBB5}"/>
    <cellStyle name="Normal 8 2 2 3 2 8" xfId="9083" xr:uid="{59714364-6FD1-4132-857E-AF8DC9775B7A}"/>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678273F-AB31-42F0-8EC3-C9EAB870AAB1}"/>
    <cellStyle name="Normal 8 2 2 3 3 2 3" xfId="11640" xr:uid="{814B0A35-F81B-49CC-8817-D24149EBCB4F}"/>
    <cellStyle name="Normal 8 2 2 3 3 3" xfId="5263" xr:uid="{00000000-0005-0000-0000-00005D1C0000}"/>
    <cellStyle name="Normal 8 2 2 3 3 3 2" xfId="13713" xr:uid="{C0021D8A-A2D9-4BD8-896D-7ABBD2255E92}"/>
    <cellStyle name="Normal 8 2 2 3 3 4" xfId="9495" xr:uid="{B15AB5B3-EB65-4D85-BB05-0C0A8F58D00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95388D4E-B4C1-4379-904C-702D385F28D8}"/>
    <cellStyle name="Normal 8 2 2 3 4 2 3" xfId="12053" xr:uid="{63D52292-72C2-404B-9C3E-D02C74F2F648}"/>
    <cellStyle name="Normal 8 2 2 3 4 3" xfId="5676" xr:uid="{00000000-0005-0000-0000-0000611C0000}"/>
    <cellStyle name="Normal 8 2 2 3 4 3 2" xfId="14126" xr:uid="{87040DF7-456C-4F7B-A0BC-03993F929054}"/>
    <cellStyle name="Normal 8 2 2 3 4 4" xfId="9908" xr:uid="{8CB12698-483A-44C1-B175-44E467BA260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3FD0E0AF-900F-42C7-9257-7D47F080B246}"/>
    <cellStyle name="Normal 8 2 2 3 5 2 3" xfId="12466" xr:uid="{844A28D6-04BA-4717-B3F8-341E4E6E66FA}"/>
    <cellStyle name="Normal 8 2 2 3 5 3" xfId="6089" xr:uid="{00000000-0005-0000-0000-0000651C0000}"/>
    <cellStyle name="Normal 8 2 2 3 5 3 2" xfId="14539" xr:uid="{DD675FB9-C7C9-4875-B894-A13CB9D6E3AE}"/>
    <cellStyle name="Normal 8 2 2 3 5 4" xfId="10321" xr:uid="{6D6828CF-8395-48DC-882C-903F7788C64A}"/>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59E7F06A-DAFA-4D54-9A70-C18A20F2CB99}"/>
    <cellStyle name="Normal 8 2 2 3 6 2 3" xfId="12879" xr:uid="{9044F6C0-CB1C-43E2-8E89-F163C7EAA927}"/>
    <cellStyle name="Normal 8 2 2 3 6 3" xfId="6502" xr:uid="{00000000-0005-0000-0000-0000691C0000}"/>
    <cellStyle name="Normal 8 2 2 3 6 3 2" xfId="14952" xr:uid="{80807AE3-E3B9-4350-B9CF-B9FBD95B4221}"/>
    <cellStyle name="Normal 8 2 2 3 6 4" xfId="10734" xr:uid="{CCB3F135-18DC-4B97-9AC1-609BA93E14B4}"/>
    <cellStyle name="Normal 8 2 2 3 7" xfId="2632" xr:uid="{00000000-0005-0000-0000-00006A1C0000}"/>
    <cellStyle name="Normal 8 2 2 3 7 2" xfId="6915" xr:uid="{00000000-0005-0000-0000-00006B1C0000}"/>
    <cellStyle name="Normal 8 2 2 3 7 2 2" xfId="15365" xr:uid="{0A535F15-F662-4C07-8041-1EE0C0760C55}"/>
    <cellStyle name="Normal 8 2 2 3 7 3" xfId="11147" xr:uid="{7637F5CD-243A-4891-8C9E-49256EB4BBC9}"/>
    <cellStyle name="Normal 8 2 2 3 8" xfId="4850" xr:uid="{00000000-0005-0000-0000-00006C1C0000}"/>
    <cellStyle name="Normal 8 2 2 3 8 2" xfId="13300" xr:uid="{5A0B08D0-24EA-403D-AB24-CC225DECD700}"/>
    <cellStyle name="Normal 8 2 2 3 9" xfId="9082" xr:uid="{3EA36927-C460-40A3-B19A-F215BD55B616}"/>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2C3CF8A3-4E62-4DD1-97B1-FC1E9A83B28F}"/>
    <cellStyle name="Normal 8 2 2 4 2 2 3" xfId="11642" xr:uid="{7E40DE89-8073-45FB-8EA0-1FCE018AE114}"/>
    <cellStyle name="Normal 8 2 2 4 2 3" xfId="5265" xr:uid="{00000000-0005-0000-0000-0000711C0000}"/>
    <cellStyle name="Normal 8 2 2 4 2 3 2" xfId="13715" xr:uid="{86027B1E-7EE7-4DBC-9002-969B8B942A2F}"/>
    <cellStyle name="Normal 8 2 2 4 2 4" xfId="9497" xr:uid="{756B0156-79FC-4A57-AB8F-785AA094BA6D}"/>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E54DCEFB-CA40-4E2C-BE08-81B5D9E95B46}"/>
    <cellStyle name="Normal 8 2 2 4 3 2 3" xfId="12055" xr:uid="{D63F396A-314A-403B-A8A0-24E50BBBA979}"/>
    <cellStyle name="Normal 8 2 2 4 3 3" xfId="5678" xr:uid="{00000000-0005-0000-0000-0000751C0000}"/>
    <cellStyle name="Normal 8 2 2 4 3 3 2" xfId="14128" xr:uid="{8291473E-D502-4C94-B379-7E98E06FCF5D}"/>
    <cellStyle name="Normal 8 2 2 4 3 4" xfId="9910" xr:uid="{2CAAB8F3-C88C-4181-9BF2-4C23A5C71E8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30F8693C-4EB3-4EE8-A11B-1B8C60F85D55}"/>
    <cellStyle name="Normal 8 2 2 4 4 2 3" xfId="12468" xr:uid="{ED2656F4-B4F5-4014-93D3-F1D5CCD21DC6}"/>
    <cellStyle name="Normal 8 2 2 4 4 3" xfId="6091" xr:uid="{00000000-0005-0000-0000-0000791C0000}"/>
    <cellStyle name="Normal 8 2 2 4 4 3 2" xfId="14541" xr:uid="{031446EB-6D33-4B43-A0E5-5B609204164F}"/>
    <cellStyle name="Normal 8 2 2 4 4 4" xfId="10323" xr:uid="{30C52093-24F1-468A-96A6-056499E3A68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FD611A2A-3492-401E-BAA3-99C2323B0F8B}"/>
    <cellStyle name="Normal 8 2 2 4 5 2 3" xfId="12881" xr:uid="{EA0E45A3-6569-45B3-8363-77C8BF103498}"/>
    <cellStyle name="Normal 8 2 2 4 5 3" xfId="6504" xr:uid="{00000000-0005-0000-0000-00007D1C0000}"/>
    <cellStyle name="Normal 8 2 2 4 5 3 2" xfId="14954" xr:uid="{69FFEC50-7CD5-4ED1-AEF6-269B3BD64ADA}"/>
    <cellStyle name="Normal 8 2 2 4 5 4" xfId="10736" xr:uid="{ABB22702-5DC8-473C-922A-7DCF2E7BE5D0}"/>
    <cellStyle name="Normal 8 2 2 4 6" xfId="2634" xr:uid="{00000000-0005-0000-0000-00007E1C0000}"/>
    <cellStyle name="Normal 8 2 2 4 6 2" xfId="6917" xr:uid="{00000000-0005-0000-0000-00007F1C0000}"/>
    <cellStyle name="Normal 8 2 2 4 6 2 2" xfId="15367" xr:uid="{CD4105B6-C961-4626-854C-F878572A92D5}"/>
    <cellStyle name="Normal 8 2 2 4 6 3" xfId="11149" xr:uid="{7173A16A-154C-45A2-926E-D72F21CE2D0A}"/>
    <cellStyle name="Normal 8 2 2 4 7" xfId="4852" xr:uid="{00000000-0005-0000-0000-0000801C0000}"/>
    <cellStyle name="Normal 8 2 2 4 7 2" xfId="13302" xr:uid="{396BB45D-AD7B-429B-AA78-FC4DCBD903E3}"/>
    <cellStyle name="Normal 8 2 2 4 8" xfId="9084" xr:uid="{36FD299E-42D9-4128-A9C7-F93FD37DC984}"/>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C84D6F15-B4F8-43C3-BE42-8903AD9E4E42}"/>
    <cellStyle name="Normal 8 2 2 5 2 3" xfId="11635" xr:uid="{11073AF7-4972-42AD-B8AD-2A61C2EB6AD4}"/>
    <cellStyle name="Normal 8 2 2 5 3" xfId="5258" xr:uid="{00000000-0005-0000-0000-0000841C0000}"/>
    <cellStyle name="Normal 8 2 2 5 3 2" xfId="13708" xr:uid="{C36CCA62-1031-40E0-9291-1DBDF3CDD7F8}"/>
    <cellStyle name="Normal 8 2 2 5 4" xfId="9490" xr:uid="{7BD55A41-6F95-4FC8-BBE9-763FE7FF4214}"/>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F96B8C52-E9B4-4B23-BDB7-566F0EF5862E}"/>
    <cellStyle name="Normal 8 2 2 6 2 3" xfId="12048" xr:uid="{DEF4F58D-EFF4-4F81-9D52-DC6808839D73}"/>
    <cellStyle name="Normal 8 2 2 6 3" xfId="5671" xr:uid="{00000000-0005-0000-0000-0000881C0000}"/>
    <cellStyle name="Normal 8 2 2 6 3 2" xfId="14121" xr:uid="{4F0D551B-B8FD-4B83-AC83-23A22C256101}"/>
    <cellStyle name="Normal 8 2 2 6 4" xfId="9903" xr:uid="{83844621-D505-4948-8908-996066C88B36}"/>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D7EA5A13-A4A3-41A0-BDD1-56B47BAC0466}"/>
    <cellStyle name="Normal 8 2 2 7 2 3" xfId="12461" xr:uid="{1DC30E2B-8317-4D17-A010-E238A190B251}"/>
    <cellStyle name="Normal 8 2 2 7 3" xfId="6084" xr:uid="{00000000-0005-0000-0000-00008C1C0000}"/>
    <cellStyle name="Normal 8 2 2 7 3 2" xfId="14534" xr:uid="{90C3D534-91D0-48F8-952F-FC247737EAA3}"/>
    <cellStyle name="Normal 8 2 2 7 4" xfId="10316" xr:uid="{7972C334-8376-4F5D-99E0-8FC4FFE5118D}"/>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E5A639A0-CA54-425B-9184-E092BB833BAB}"/>
    <cellStyle name="Normal 8 2 2 8 2 3" xfId="12874" xr:uid="{85A34CC4-2E53-43AE-A318-10D0E13B6B45}"/>
    <cellStyle name="Normal 8 2 2 8 3" xfId="6497" xr:uid="{00000000-0005-0000-0000-0000901C0000}"/>
    <cellStyle name="Normal 8 2 2 8 3 2" xfId="14947" xr:uid="{677F8C9C-77F8-4EDE-AB41-6100C3C2ECDE}"/>
    <cellStyle name="Normal 8 2 2 8 4" xfId="10729" xr:uid="{DDC90B00-A155-4E50-ACB9-A1543F8F2952}"/>
    <cellStyle name="Normal 8 2 2 9" xfId="2627" xr:uid="{00000000-0005-0000-0000-0000911C0000}"/>
    <cellStyle name="Normal 8 2 2 9 2" xfId="6910" xr:uid="{00000000-0005-0000-0000-0000921C0000}"/>
    <cellStyle name="Normal 8 2 2 9 2 2" xfId="15360" xr:uid="{98866DC0-9BCC-4963-BE5D-747A211BE17E}"/>
    <cellStyle name="Normal 8 2 2 9 3" xfId="11142" xr:uid="{2ADFF280-DE4F-4A36-B218-CBBCE97C496D}"/>
    <cellStyle name="Normal 8 2 3" xfId="488" xr:uid="{00000000-0005-0000-0000-0000931C0000}"/>
    <cellStyle name="Normal 8 2 3 10" xfId="9085" xr:uid="{45F0B612-C9D4-47EF-BE01-F73E841DF983}"/>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9D7A8F73-C169-45E0-8C7F-581199492CC2}"/>
    <cellStyle name="Normal 8 2 3 2 2 2 2 3" xfId="11645" xr:uid="{81877195-F076-40C1-967E-110AC205FBC9}"/>
    <cellStyle name="Normal 8 2 3 2 2 2 3" xfId="5268" xr:uid="{00000000-0005-0000-0000-0000991C0000}"/>
    <cellStyle name="Normal 8 2 3 2 2 2 3 2" xfId="13718" xr:uid="{59C0FDDC-918B-47C4-8F6A-0F87E96CACF2}"/>
    <cellStyle name="Normal 8 2 3 2 2 2 4" xfId="9500" xr:uid="{CF484900-0167-4D32-A00C-D14B5CEF088E}"/>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14CF0A24-F036-48CC-8C0A-59FAFF4E7183}"/>
    <cellStyle name="Normal 8 2 3 2 2 3 2 3" xfId="12058" xr:uid="{325A0CCF-2298-4B37-9D61-53F8B379D5F4}"/>
    <cellStyle name="Normal 8 2 3 2 2 3 3" xfId="5681" xr:uid="{00000000-0005-0000-0000-00009D1C0000}"/>
    <cellStyle name="Normal 8 2 3 2 2 3 3 2" xfId="14131" xr:uid="{E12D779B-5DAE-4EEB-94FA-515E27F2E53C}"/>
    <cellStyle name="Normal 8 2 3 2 2 3 4" xfId="9913" xr:uid="{65E04C64-D832-47AA-BEFF-2696F7810C93}"/>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64F3489E-FE2E-4AA0-A148-962E7E5224FC}"/>
    <cellStyle name="Normal 8 2 3 2 2 4 2 3" xfId="12471" xr:uid="{6F9CB6A6-5B8C-4178-8FBA-C0A5D6B19B2F}"/>
    <cellStyle name="Normal 8 2 3 2 2 4 3" xfId="6094" xr:uid="{00000000-0005-0000-0000-0000A11C0000}"/>
    <cellStyle name="Normal 8 2 3 2 2 4 3 2" xfId="14544" xr:uid="{AFF1AE44-67ED-4861-9415-62DCB3A05075}"/>
    <cellStyle name="Normal 8 2 3 2 2 4 4" xfId="10326" xr:uid="{AB9D399A-B8EC-4015-B0DA-38F07DF5073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2A64D784-6815-445B-9E85-4F3CA15933C4}"/>
    <cellStyle name="Normal 8 2 3 2 2 5 2 3" xfId="12884" xr:uid="{2E41CFD7-24F2-4635-B4DE-FFE53147025E}"/>
    <cellStyle name="Normal 8 2 3 2 2 5 3" xfId="6507" xr:uid="{00000000-0005-0000-0000-0000A51C0000}"/>
    <cellStyle name="Normal 8 2 3 2 2 5 3 2" xfId="14957" xr:uid="{FDD28301-E6DE-4D5E-8574-5A0642DB8417}"/>
    <cellStyle name="Normal 8 2 3 2 2 5 4" xfId="10739" xr:uid="{7655EBAF-0D95-48F7-A20F-A459A0038DFE}"/>
    <cellStyle name="Normal 8 2 3 2 2 6" xfId="2637" xr:uid="{00000000-0005-0000-0000-0000A61C0000}"/>
    <cellStyle name="Normal 8 2 3 2 2 6 2" xfId="6920" xr:uid="{00000000-0005-0000-0000-0000A71C0000}"/>
    <cellStyle name="Normal 8 2 3 2 2 6 2 2" xfId="15370" xr:uid="{CFC801B0-73AE-483C-982F-81D0C4F41A49}"/>
    <cellStyle name="Normal 8 2 3 2 2 6 3" xfId="11152" xr:uid="{79606844-FBF7-4854-AE22-629B10F33E85}"/>
    <cellStyle name="Normal 8 2 3 2 2 7" xfId="4855" xr:uid="{00000000-0005-0000-0000-0000A81C0000}"/>
    <cellStyle name="Normal 8 2 3 2 2 7 2" xfId="13305" xr:uid="{5F3F9BF0-0F78-4263-9EB1-B2FE5B856D95}"/>
    <cellStyle name="Normal 8 2 3 2 2 8" xfId="9087" xr:uid="{86ED3310-74EB-4445-845E-BBB37E917B48}"/>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73557A9F-BE07-4BD5-A796-99A3A6C11926}"/>
    <cellStyle name="Normal 8 2 3 2 3 2 3" xfId="11644" xr:uid="{0BDEFFBB-8246-49D9-9DE2-2DEC15602397}"/>
    <cellStyle name="Normal 8 2 3 2 3 3" xfId="5267" xr:uid="{00000000-0005-0000-0000-0000AC1C0000}"/>
    <cellStyle name="Normal 8 2 3 2 3 3 2" xfId="13717" xr:uid="{0471E8DA-EF22-40C5-8371-D8FB629BC1D9}"/>
    <cellStyle name="Normal 8 2 3 2 3 4" xfId="9499" xr:uid="{05B494DF-E76C-47A1-834C-F788FD18ED14}"/>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9295920D-54D9-4932-A9A3-D4AA7B17319A}"/>
    <cellStyle name="Normal 8 2 3 2 4 2 3" xfId="12057" xr:uid="{9A1D77D3-C7C1-46DE-9965-C38D652348F9}"/>
    <cellStyle name="Normal 8 2 3 2 4 3" xfId="5680" xr:uid="{00000000-0005-0000-0000-0000B01C0000}"/>
    <cellStyle name="Normal 8 2 3 2 4 3 2" xfId="14130" xr:uid="{C5D2215A-BD60-4007-B4A4-F6697C50DE78}"/>
    <cellStyle name="Normal 8 2 3 2 4 4" xfId="9912" xr:uid="{9540D861-CEAC-4692-A3C7-DF17D61DB4C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F20D4308-DA14-4082-AC28-A6428E5677AC}"/>
    <cellStyle name="Normal 8 2 3 2 5 2 3" xfId="12470" xr:uid="{919EF754-C110-4693-A651-BCAD7D357452}"/>
    <cellStyle name="Normal 8 2 3 2 5 3" xfId="6093" xr:uid="{00000000-0005-0000-0000-0000B41C0000}"/>
    <cellStyle name="Normal 8 2 3 2 5 3 2" xfId="14543" xr:uid="{BB0ACFDC-9FE3-4F4C-8C1D-76CF709F401A}"/>
    <cellStyle name="Normal 8 2 3 2 5 4" xfId="10325" xr:uid="{1296ACEA-867E-41D2-9961-D9C45C6BCD9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56EDE8F7-789F-4736-9953-32F7A972056C}"/>
    <cellStyle name="Normal 8 2 3 2 6 2 3" xfId="12883" xr:uid="{2C366A28-4A15-4E62-A690-7C26DB7A899F}"/>
    <cellStyle name="Normal 8 2 3 2 6 3" xfId="6506" xr:uid="{00000000-0005-0000-0000-0000B81C0000}"/>
    <cellStyle name="Normal 8 2 3 2 6 3 2" xfId="14956" xr:uid="{81AD358B-DF8D-49CB-86FE-0A73268407EE}"/>
    <cellStyle name="Normal 8 2 3 2 6 4" xfId="10738" xr:uid="{BE9CC0F0-6053-43FD-B279-BCAFAC8D46FC}"/>
    <cellStyle name="Normal 8 2 3 2 7" xfId="2636" xr:uid="{00000000-0005-0000-0000-0000B91C0000}"/>
    <cellStyle name="Normal 8 2 3 2 7 2" xfId="6919" xr:uid="{00000000-0005-0000-0000-0000BA1C0000}"/>
    <cellStyle name="Normal 8 2 3 2 7 2 2" xfId="15369" xr:uid="{C8F0B2F9-889A-42BA-A40D-769DE540CDC5}"/>
    <cellStyle name="Normal 8 2 3 2 7 3" xfId="11151" xr:uid="{21198280-CA37-45AB-92E7-B9F7D90A87A8}"/>
    <cellStyle name="Normal 8 2 3 2 8" xfId="4854" xr:uid="{00000000-0005-0000-0000-0000BB1C0000}"/>
    <cellStyle name="Normal 8 2 3 2 8 2" xfId="13304" xr:uid="{F7C99444-EC8A-48B2-B571-B0DFD9E13AA4}"/>
    <cellStyle name="Normal 8 2 3 2 9" xfId="9086" xr:uid="{2B8FD418-63B0-402A-BCC8-26E4C097ED3D}"/>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68A54A68-1D2E-49FB-9B7B-046B27DD5A16}"/>
    <cellStyle name="Normal 8 2 3 3 2 2 3" xfId="11646" xr:uid="{9E91C8BE-FDCA-4A57-9F96-0E94349FB7D9}"/>
    <cellStyle name="Normal 8 2 3 3 2 3" xfId="5269" xr:uid="{00000000-0005-0000-0000-0000C01C0000}"/>
    <cellStyle name="Normal 8 2 3 3 2 3 2" xfId="13719" xr:uid="{4DFED191-B23B-434B-9CD6-35522EA9E669}"/>
    <cellStyle name="Normal 8 2 3 3 2 4" xfId="9501" xr:uid="{61689E2C-BE27-42FC-9C00-B1BCC775C9A5}"/>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30D98A1E-70A8-4052-94B4-1302919E600A}"/>
    <cellStyle name="Normal 8 2 3 3 3 2 3" xfId="12059" xr:uid="{387CC932-B060-4CED-9A58-6A2E3EF13CBE}"/>
    <cellStyle name="Normal 8 2 3 3 3 3" xfId="5682" xr:uid="{00000000-0005-0000-0000-0000C41C0000}"/>
    <cellStyle name="Normal 8 2 3 3 3 3 2" xfId="14132" xr:uid="{DB0C45BC-2ADB-45B9-9C01-7138B52A2D95}"/>
    <cellStyle name="Normal 8 2 3 3 3 4" xfId="9914" xr:uid="{8291016F-09A9-4D23-80E4-66AB57EC0D81}"/>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9C3C99F2-0B0D-471C-AFB3-B2B8E87DA6E9}"/>
    <cellStyle name="Normal 8 2 3 3 4 2 3" xfId="12472" xr:uid="{4E979E48-7CCC-4DDD-B8C8-DCF6FD20BA91}"/>
    <cellStyle name="Normal 8 2 3 3 4 3" xfId="6095" xr:uid="{00000000-0005-0000-0000-0000C81C0000}"/>
    <cellStyle name="Normal 8 2 3 3 4 3 2" xfId="14545" xr:uid="{A7F58FFE-4BFC-42CF-96F2-629DB359E0E1}"/>
    <cellStyle name="Normal 8 2 3 3 4 4" xfId="10327" xr:uid="{C2389E05-C31C-42D4-A42F-FAC9C5D6516C}"/>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B4247E3E-70E6-4AEF-AB41-3CE5AF0889FD}"/>
    <cellStyle name="Normal 8 2 3 3 5 2 3" xfId="12885" xr:uid="{BCAA28C0-C519-4885-B7CF-105A4AA3BC37}"/>
    <cellStyle name="Normal 8 2 3 3 5 3" xfId="6508" xr:uid="{00000000-0005-0000-0000-0000CC1C0000}"/>
    <cellStyle name="Normal 8 2 3 3 5 3 2" xfId="14958" xr:uid="{485B018A-63FE-4E1C-BA88-EE37E19D61FC}"/>
    <cellStyle name="Normal 8 2 3 3 5 4" xfId="10740" xr:uid="{CA90888C-A46E-41CC-8CF4-E9BC7EE7C631}"/>
    <cellStyle name="Normal 8 2 3 3 6" xfId="2638" xr:uid="{00000000-0005-0000-0000-0000CD1C0000}"/>
    <cellStyle name="Normal 8 2 3 3 6 2" xfId="6921" xr:uid="{00000000-0005-0000-0000-0000CE1C0000}"/>
    <cellStyle name="Normal 8 2 3 3 6 2 2" xfId="15371" xr:uid="{35E512F3-4180-4E93-93F2-F64BD1A663FF}"/>
    <cellStyle name="Normal 8 2 3 3 6 3" xfId="11153" xr:uid="{9FA0A3D7-B177-4C8A-A961-85C000FDE898}"/>
    <cellStyle name="Normal 8 2 3 3 7" xfId="4856" xr:uid="{00000000-0005-0000-0000-0000CF1C0000}"/>
    <cellStyle name="Normal 8 2 3 3 7 2" xfId="13306" xr:uid="{1B5424E5-57C5-452D-BBC0-14833A95E4DB}"/>
    <cellStyle name="Normal 8 2 3 3 8" xfId="9088" xr:uid="{43176FCC-E8E8-4E39-8B93-7DD65392C57C}"/>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825A7078-18D8-4D13-93BE-802F22638AD8}"/>
    <cellStyle name="Normal 8 2 3 4 2 3" xfId="11643" xr:uid="{32F113E4-62E0-4EB3-9064-E61FF8BD3688}"/>
    <cellStyle name="Normal 8 2 3 4 3" xfId="5266" xr:uid="{00000000-0005-0000-0000-0000D31C0000}"/>
    <cellStyle name="Normal 8 2 3 4 3 2" xfId="13716" xr:uid="{7A26670B-1DAA-481F-B267-5847759086BF}"/>
    <cellStyle name="Normal 8 2 3 4 4" xfId="9498" xr:uid="{9DDF6859-7000-4274-ACE8-303B88FE58D4}"/>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37BC434E-5A10-4C78-89AE-C464209B48B3}"/>
    <cellStyle name="Normal 8 2 3 5 2 3" xfId="12056" xr:uid="{E2ACF5D4-92DE-4CBC-AD28-AED40C4DCEDD}"/>
    <cellStyle name="Normal 8 2 3 5 3" xfId="5679" xr:uid="{00000000-0005-0000-0000-0000D71C0000}"/>
    <cellStyle name="Normal 8 2 3 5 3 2" xfId="14129" xr:uid="{DA3F0102-6A0E-411C-AB7E-CD3E68ECD9FA}"/>
    <cellStyle name="Normal 8 2 3 5 4" xfId="9911" xr:uid="{9A185BEE-1766-4A31-A2C0-DE64C3DBFD41}"/>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4209EDCD-E676-4C86-BB2F-A74B98C5C31B}"/>
    <cellStyle name="Normal 8 2 3 6 2 3" xfId="12469" xr:uid="{0AC994EE-71B9-474B-91CA-96279D56360F}"/>
    <cellStyle name="Normal 8 2 3 6 3" xfId="6092" xr:uid="{00000000-0005-0000-0000-0000DB1C0000}"/>
    <cellStyle name="Normal 8 2 3 6 3 2" xfId="14542" xr:uid="{B28B972C-13D5-4EC5-82C8-FAB56389D522}"/>
    <cellStyle name="Normal 8 2 3 6 4" xfId="10324" xr:uid="{BAD8C93F-A70B-46BE-BEAC-F980B7E19930}"/>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3DEC288B-9F13-4882-9DF3-02281F2BDF3E}"/>
    <cellStyle name="Normal 8 2 3 7 2 3" xfId="12882" xr:uid="{30F97349-AE2C-45F9-8C5C-09BB1B4F0D1A}"/>
    <cellStyle name="Normal 8 2 3 7 3" xfId="6505" xr:uid="{00000000-0005-0000-0000-0000DF1C0000}"/>
    <cellStyle name="Normal 8 2 3 7 3 2" xfId="14955" xr:uid="{C87B3121-0A96-4DBC-AA3F-A9267ECA467E}"/>
    <cellStyle name="Normal 8 2 3 7 4" xfId="10737" xr:uid="{16A51DBA-9A01-45C1-9451-46B10775FC26}"/>
    <cellStyle name="Normal 8 2 3 8" xfId="2635" xr:uid="{00000000-0005-0000-0000-0000E01C0000}"/>
    <cellStyle name="Normal 8 2 3 8 2" xfId="6918" xr:uid="{00000000-0005-0000-0000-0000E11C0000}"/>
    <cellStyle name="Normal 8 2 3 8 2 2" xfId="15368" xr:uid="{F1287A30-7C8F-4C7D-B34E-BCBD06B18642}"/>
    <cellStyle name="Normal 8 2 3 8 3" xfId="11150" xr:uid="{544A9CC0-DB2E-4D27-A1D7-3C7979F26123}"/>
    <cellStyle name="Normal 8 2 3 9" xfId="4853" xr:uid="{00000000-0005-0000-0000-0000E21C0000}"/>
    <cellStyle name="Normal 8 2 3 9 2" xfId="13303" xr:uid="{4D033971-6DF5-4039-B11D-9F605931E8E9}"/>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A49BF7BE-D2F1-4216-8D98-135FF8CA975F}"/>
    <cellStyle name="Normal 8 2 4 2 2 2 3" xfId="11648" xr:uid="{7A45A85A-88A6-4067-ACB0-9199E8B74F35}"/>
    <cellStyle name="Normal 8 2 4 2 2 3" xfId="5271" xr:uid="{00000000-0005-0000-0000-0000E81C0000}"/>
    <cellStyle name="Normal 8 2 4 2 2 3 2" xfId="13721" xr:uid="{2D95CED1-EBEE-4CBE-8319-1DDEB0A72643}"/>
    <cellStyle name="Normal 8 2 4 2 2 4" xfId="9503" xr:uid="{9E8FBAAF-AFB6-4C80-94A2-333F5D10FBD0}"/>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EA1AB71E-492E-40E5-85FD-447855D9DE2F}"/>
    <cellStyle name="Normal 8 2 4 2 3 2 3" xfId="12061" xr:uid="{D9F0DD61-1F3D-4A34-9764-123069EB3943}"/>
    <cellStyle name="Normal 8 2 4 2 3 3" xfId="5684" xr:uid="{00000000-0005-0000-0000-0000EC1C0000}"/>
    <cellStyle name="Normal 8 2 4 2 3 3 2" xfId="14134" xr:uid="{3309FBA1-17F2-4E09-BB82-1F75D7AAAD3B}"/>
    <cellStyle name="Normal 8 2 4 2 3 4" xfId="9916" xr:uid="{6A979DFB-F6E7-47CF-BF32-D64DED58C14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3969DD86-C9E9-4FFC-9C88-C2320D765621}"/>
    <cellStyle name="Normal 8 2 4 2 4 2 3" xfId="12474" xr:uid="{FADB6988-6F6B-4E2A-B079-6085721357E9}"/>
    <cellStyle name="Normal 8 2 4 2 4 3" xfId="6097" xr:uid="{00000000-0005-0000-0000-0000F01C0000}"/>
    <cellStyle name="Normal 8 2 4 2 4 3 2" xfId="14547" xr:uid="{D8991674-FAD3-4DAD-B83A-0F8FCB00E2FA}"/>
    <cellStyle name="Normal 8 2 4 2 4 4" xfId="10329" xr:uid="{2D35C440-9DDB-4974-9B1E-128AFBA21DBB}"/>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5AB02924-27A8-413F-8764-C3E7CFFFDBF5}"/>
    <cellStyle name="Normal 8 2 4 2 5 2 3" xfId="12887" xr:uid="{555B578F-7D30-49C9-AD72-7FB353FFE6EB}"/>
    <cellStyle name="Normal 8 2 4 2 5 3" xfId="6510" xr:uid="{00000000-0005-0000-0000-0000F41C0000}"/>
    <cellStyle name="Normal 8 2 4 2 5 3 2" xfId="14960" xr:uid="{F2E7E7BD-E51C-42A3-84A6-CF35BA4D7C02}"/>
    <cellStyle name="Normal 8 2 4 2 5 4" xfId="10742" xr:uid="{204A9B08-86ED-4071-B1E8-087D1DFE4A4E}"/>
    <cellStyle name="Normal 8 2 4 2 6" xfId="2640" xr:uid="{00000000-0005-0000-0000-0000F51C0000}"/>
    <cellStyle name="Normal 8 2 4 2 6 2" xfId="6923" xr:uid="{00000000-0005-0000-0000-0000F61C0000}"/>
    <cellStyle name="Normal 8 2 4 2 6 2 2" xfId="15373" xr:uid="{C2BF4F2B-B223-41BD-B4ED-30244C07FB95}"/>
    <cellStyle name="Normal 8 2 4 2 6 3" xfId="11155" xr:uid="{1C6CAA53-059E-4A1D-B0EE-A8A2BA153852}"/>
    <cellStyle name="Normal 8 2 4 2 7" xfId="4858" xr:uid="{00000000-0005-0000-0000-0000F71C0000}"/>
    <cellStyle name="Normal 8 2 4 2 7 2" xfId="13308" xr:uid="{8F920629-E134-4E65-A358-0AC18C5B389B}"/>
    <cellStyle name="Normal 8 2 4 2 8" xfId="9090" xr:uid="{19953A9B-DAC3-4E58-BFDF-007FD21874D0}"/>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112D030F-0D01-4F32-9A70-5CBA7F2E825B}"/>
    <cellStyle name="Normal 8 2 4 3 2 3" xfId="11647" xr:uid="{3C431AFE-9D7B-4A93-8917-60C3ACE599F6}"/>
    <cellStyle name="Normal 8 2 4 3 3" xfId="5270" xr:uid="{00000000-0005-0000-0000-0000FB1C0000}"/>
    <cellStyle name="Normal 8 2 4 3 3 2" xfId="13720" xr:uid="{ED51776D-582E-4E5E-A646-B6177385DFA3}"/>
    <cellStyle name="Normal 8 2 4 3 4" xfId="9502" xr:uid="{C17CAC08-A917-44CA-BD3C-38402555119A}"/>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C9E57A88-62B6-4AD7-A0DE-406F82247E19}"/>
    <cellStyle name="Normal 8 2 4 4 2 3" xfId="12060" xr:uid="{158DD98B-3007-4C25-B845-E25CD297854E}"/>
    <cellStyle name="Normal 8 2 4 4 3" xfId="5683" xr:uid="{00000000-0005-0000-0000-0000FF1C0000}"/>
    <cellStyle name="Normal 8 2 4 4 3 2" xfId="14133" xr:uid="{AF7F51DE-8587-4819-8852-C2099ACEE43C}"/>
    <cellStyle name="Normal 8 2 4 4 4" xfId="9915" xr:uid="{E7D412DA-6C75-4902-A469-B7C79E02F9C7}"/>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F8844242-61D2-4F4B-8289-BDFA58D12FC1}"/>
    <cellStyle name="Normal 8 2 4 5 2 3" xfId="12473" xr:uid="{3CB6387D-7C74-462D-A412-E5E2E4521DA0}"/>
    <cellStyle name="Normal 8 2 4 5 3" xfId="6096" xr:uid="{00000000-0005-0000-0000-0000031D0000}"/>
    <cellStyle name="Normal 8 2 4 5 3 2" xfId="14546" xr:uid="{9D92D99A-BA7A-445B-BAE9-C6171FAE27D7}"/>
    <cellStyle name="Normal 8 2 4 5 4" xfId="10328" xr:uid="{39FB8C72-2715-4037-AAAC-187B7C19A452}"/>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DA89FEFF-6A5A-4664-890A-201E4E58C7D1}"/>
    <cellStyle name="Normal 8 2 4 6 2 3" xfId="12886" xr:uid="{411C72DC-7E97-4371-888B-24E003327879}"/>
    <cellStyle name="Normal 8 2 4 6 3" xfId="6509" xr:uid="{00000000-0005-0000-0000-0000071D0000}"/>
    <cellStyle name="Normal 8 2 4 6 3 2" xfId="14959" xr:uid="{9B0A5F26-70B0-4AE0-8CE5-2468DB673095}"/>
    <cellStyle name="Normal 8 2 4 6 4" xfId="10741" xr:uid="{7F67D9C5-7879-4D11-9FA7-9EA4EDBE0E7F}"/>
    <cellStyle name="Normal 8 2 4 7" xfId="2639" xr:uid="{00000000-0005-0000-0000-0000081D0000}"/>
    <cellStyle name="Normal 8 2 4 7 2" xfId="6922" xr:uid="{00000000-0005-0000-0000-0000091D0000}"/>
    <cellStyle name="Normal 8 2 4 7 2 2" xfId="15372" xr:uid="{F3BBDF88-23F5-4C61-A06A-6CC77886CBAF}"/>
    <cellStyle name="Normal 8 2 4 7 3" xfId="11154" xr:uid="{C1860CBF-05B5-4A7C-93E9-A10B0BC4442A}"/>
    <cellStyle name="Normal 8 2 4 8" xfId="4857" xr:uid="{00000000-0005-0000-0000-00000A1D0000}"/>
    <cellStyle name="Normal 8 2 4 8 2" xfId="13307" xr:uid="{9941AA4E-52C2-45AF-9231-84C713155FC7}"/>
    <cellStyle name="Normal 8 2 4 9" xfId="9089" xr:uid="{2BC51A29-90CB-4CE9-8658-22081A9D511B}"/>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BA2DB119-96CC-4FA8-AE60-C7BD3071D099}"/>
    <cellStyle name="Normal 8 2 5 2 2 3" xfId="11649" xr:uid="{B26E12C7-A839-4A47-B880-38E877D9498C}"/>
    <cellStyle name="Normal 8 2 5 2 3" xfId="5272" xr:uid="{00000000-0005-0000-0000-00000F1D0000}"/>
    <cellStyle name="Normal 8 2 5 2 3 2" xfId="13722" xr:uid="{4CE0CEF2-CAF5-4881-9D0C-E804A271D7A6}"/>
    <cellStyle name="Normal 8 2 5 2 4" xfId="9504" xr:uid="{D0D3CC7D-5A50-4828-A890-D2FF103FCB47}"/>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71A065D5-268B-4398-860C-7D69D22A1383}"/>
    <cellStyle name="Normal 8 2 5 3 2 3" xfId="12062" xr:uid="{F09D20D1-6D36-467A-BBC7-91487775B1CB}"/>
    <cellStyle name="Normal 8 2 5 3 3" xfId="5685" xr:uid="{00000000-0005-0000-0000-0000131D0000}"/>
    <cellStyle name="Normal 8 2 5 3 3 2" xfId="14135" xr:uid="{963864EC-D85E-4B8C-A9C6-00DDC2407B28}"/>
    <cellStyle name="Normal 8 2 5 3 4" xfId="9917" xr:uid="{1659D6DB-0BD8-4467-A69E-64EE86414F2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43B0D314-ECF8-4A6D-A0E5-A659F9FC3967}"/>
    <cellStyle name="Normal 8 2 5 4 2 3" xfId="12475" xr:uid="{FDA5771F-F2BC-47C3-BFE8-24AAA748F839}"/>
    <cellStyle name="Normal 8 2 5 4 3" xfId="6098" xr:uid="{00000000-0005-0000-0000-0000171D0000}"/>
    <cellStyle name="Normal 8 2 5 4 3 2" xfId="14548" xr:uid="{12BF5120-0664-4DF6-866F-52D8C3C8855A}"/>
    <cellStyle name="Normal 8 2 5 4 4" xfId="10330" xr:uid="{A2A89BC4-8DE8-4240-8532-013CBC9BBBE5}"/>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1242975C-466E-483F-8645-A1A61361D327}"/>
    <cellStyle name="Normal 8 2 5 5 2 3" xfId="12888" xr:uid="{F67D086A-F74C-4B82-8A87-AC64A08F346C}"/>
    <cellStyle name="Normal 8 2 5 5 3" xfId="6511" xr:uid="{00000000-0005-0000-0000-00001B1D0000}"/>
    <cellStyle name="Normal 8 2 5 5 3 2" xfId="14961" xr:uid="{759C662E-733F-47A7-A19A-4D5E08C1EBD1}"/>
    <cellStyle name="Normal 8 2 5 5 4" xfId="10743" xr:uid="{743645C2-15ED-409F-8776-13044009E0FA}"/>
    <cellStyle name="Normal 8 2 5 6" xfId="2641" xr:uid="{00000000-0005-0000-0000-00001C1D0000}"/>
    <cellStyle name="Normal 8 2 5 6 2" xfId="6924" xr:uid="{00000000-0005-0000-0000-00001D1D0000}"/>
    <cellStyle name="Normal 8 2 5 6 2 2" xfId="15374" xr:uid="{FF6985C3-0E09-407E-94AB-AE6F9A15E15B}"/>
    <cellStyle name="Normal 8 2 5 6 3" xfId="11156" xr:uid="{CF75DCDB-54B2-4F73-BD8C-A4E5BF54F945}"/>
    <cellStyle name="Normal 8 2 5 7" xfId="4859" xr:uid="{00000000-0005-0000-0000-00001E1D0000}"/>
    <cellStyle name="Normal 8 2 5 7 2" xfId="13309" xr:uid="{6C15D994-7B40-4B98-BC2B-839F4C7D68EC}"/>
    <cellStyle name="Normal 8 2 5 8" xfId="9091" xr:uid="{3C2E7833-5245-4FE7-9835-CCDA4B336A90}"/>
    <cellStyle name="Normal 8 2 6" xfId="946" xr:uid="{00000000-0005-0000-0000-00001F1D0000}"/>
    <cellStyle name="Normal 8 2 6 2" xfId="3180" xr:uid="{00000000-0005-0000-0000-0000201D0000}"/>
    <cellStyle name="Normal 8 2 6 2 2" xfId="7402" xr:uid="{00000000-0005-0000-0000-0000211D0000}"/>
    <cellStyle name="Normal 8 2 6 2 2 2" xfId="15852" xr:uid="{C54A7094-0717-406E-A3E7-264F488520CD}"/>
    <cellStyle name="Normal 8 2 6 2 3" xfId="11634" xr:uid="{B36EE296-CE97-4A74-956B-A0C2F7C2019C}"/>
    <cellStyle name="Normal 8 2 6 3" xfId="5257" xr:uid="{00000000-0005-0000-0000-0000221D0000}"/>
    <cellStyle name="Normal 8 2 6 3 2" xfId="13707" xr:uid="{9E8702DB-3222-47F1-81B3-B6A444F68236}"/>
    <cellStyle name="Normal 8 2 6 4" xfId="9489" xr:uid="{E6E1A8E3-D0D0-4A2F-A5D3-87C5F920E0A9}"/>
    <cellStyle name="Normal 8 2 7" xfId="1363" xr:uid="{00000000-0005-0000-0000-0000231D0000}"/>
    <cellStyle name="Normal 8 2 7 2" xfId="3593" xr:uid="{00000000-0005-0000-0000-0000241D0000}"/>
    <cellStyle name="Normal 8 2 7 2 2" xfId="7815" xr:uid="{00000000-0005-0000-0000-0000251D0000}"/>
    <cellStyle name="Normal 8 2 7 2 2 2" xfId="16265" xr:uid="{5D8B2167-7CD7-4EA3-873C-334F1AF8F89E}"/>
    <cellStyle name="Normal 8 2 7 2 3" xfId="12047" xr:uid="{5E93D0ED-D2C4-4061-A8F6-C6F0CA1B547B}"/>
    <cellStyle name="Normal 8 2 7 3" xfId="5670" xr:uid="{00000000-0005-0000-0000-0000261D0000}"/>
    <cellStyle name="Normal 8 2 7 3 2" xfId="14120" xr:uid="{EE14730E-0156-4E54-B87E-294AFFB5B715}"/>
    <cellStyle name="Normal 8 2 7 4" xfId="9902" xr:uid="{3165ECF2-4074-4B0C-805A-6B7A2A58084A}"/>
    <cellStyle name="Normal 8 2 8" xfId="1776" xr:uid="{00000000-0005-0000-0000-0000271D0000}"/>
    <cellStyle name="Normal 8 2 8 2" xfId="4006" xr:uid="{00000000-0005-0000-0000-0000281D0000}"/>
    <cellStyle name="Normal 8 2 8 2 2" xfId="8228" xr:uid="{00000000-0005-0000-0000-0000291D0000}"/>
    <cellStyle name="Normal 8 2 8 2 2 2" xfId="16678" xr:uid="{D7974F41-58E6-4A7E-B95C-7B50C97FA5E8}"/>
    <cellStyle name="Normal 8 2 8 2 3" xfId="12460" xr:uid="{BE35DFEE-7CEE-4600-A9E9-CE2796E1B75A}"/>
    <cellStyle name="Normal 8 2 8 3" xfId="6083" xr:uid="{00000000-0005-0000-0000-00002A1D0000}"/>
    <cellStyle name="Normal 8 2 8 3 2" xfId="14533" xr:uid="{E8BEB96B-C7D6-4C36-BAF9-38108FDA3354}"/>
    <cellStyle name="Normal 8 2 8 4" xfId="10315" xr:uid="{93D8FAB6-A134-43CC-982A-9A98D69F969A}"/>
    <cellStyle name="Normal 8 2 9" xfId="2190" xr:uid="{00000000-0005-0000-0000-00002B1D0000}"/>
    <cellStyle name="Normal 8 2 9 2" xfId="4419" xr:uid="{00000000-0005-0000-0000-00002C1D0000}"/>
    <cellStyle name="Normal 8 2 9 2 2" xfId="8641" xr:uid="{00000000-0005-0000-0000-00002D1D0000}"/>
    <cellStyle name="Normal 8 2 9 2 2 2" xfId="17091" xr:uid="{298D4108-E1A4-42B9-9C8D-2AEF10542F38}"/>
    <cellStyle name="Normal 8 2 9 2 3" xfId="12873" xr:uid="{0603F8CF-642C-4FC1-ADE2-F70C5C3012CE}"/>
    <cellStyle name="Normal 8 2 9 3" xfId="6496" xr:uid="{00000000-0005-0000-0000-00002E1D0000}"/>
    <cellStyle name="Normal 8 2 9 3 2" xfId="14946" xr:uid="{17563D4B-B904-4FDE-B37F-0FB18C07E0CC}"/>
    <cellStyle name="Normal 8 2 9 4" xfId="10728" xr:uid="{A842646B-6DB5-4B2B-92A7-B876C5354E29}"/>
    <cellStyle name="Normal 8 3" xfId="495" xr:uid="{00000000-0005-0000-0000-00002F1D0000}"/>
    <cellStyle name="Normal 8 3 10" xfId="4860" xr:uid="{00000000-0005-0000-0000-0000301D0000}"/>
    <cellStyle name="Normal 8 3 10 2" xfId="13310" xr:uid="{5DA936DE-E3A5-4A3A-A4C1-235D7BBEB7B4}"/>
    <cellStyle name="Normal 8 3 11" xfId="9092" xr:uid="{A15A7C2E-49AD-46B2-9F97-CDC79D512708}"/>
    <cellStyle name="Normal 8 3 2" xfId="496" xr:uid="{00000000-0005-0000-0000-0000311D0000}"/>
    <cellStyle name="Normal 8 3 2 10" xfId="9093" xr:uid="{CC09E514-76C0-4CC6-963D-44EC152880DF}"/>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A3248DD1-4C84-4DF0-AB85-DCDC1C3A096F}"/>
    <cellStyle name="Normal 8 3 2 2 2 2 2 3" xfId="11653" xr:uid="{1F067EF8-E498-4B3D-9C11-99B5375B1A77}"/>
    <cellStyle name="Normal 8 3 2 2 2 2 3" xfId="5276" xr:uid="{00000000-0005-0000-0000-0000371D0000}"/>
    <cellStyle name="Normal 8 3 2 2 2 2 3 2" xfId="13726" xr:uid="{218E2A65-EBD0-4E7E-8BDB-9581610B39C8}"/>
    <cellStyle name="Normal 8 3 2 2 2 2 4" xfId="9508" xr:uid="{7B00AB91-0115-4663-AD39-01DF84DB305E}"/>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A6FC0A5E-FC9D-476D-9F14-A6979044F24C}"/>
    <cellStyle name="Normal 8 3 2 2 2 3 2 3" xfId="12066" xr:uid="{167CA2A5-0C4C-43C6-8D70-5AB87A686D5B}"/>
    <cellStyle name="Normal 8 3 2 2 2 3 3" xfId="5689" xr:uid="{00000000-0005-0000-0000-00003B1D0000}"/>
    <cellStyle name="Normal 8 3 2 2 2 3 3 2" xfId="14139" xr:uid="{AFCF8CFD-7D0B-4A90-8AC7-2046A0219E55}"/>
    <cellStyle name="Normal 8 3 2 2 2 3 4" xfId="9921" xr:uid="{40F8CDA5-C27E-4B5A-9B21-AE79A11BCED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DDDA18EB-1B86-4E2A-904D-6440E2063CA4}"/>
    <cellStyle name="Normal 8 3 2 2 2 4 2 3" xfId="12479" xr:uid="{13637770-C79B-4A14-922C-3D6CFCEB5F06}"/>
    <cellStyle name="Normal 8 3 2 2 2 4 3" xfId="6102" xr:uid="{00000000-0005-0000-0000-00003F1D0000}"/>
    <cellStyle name="Normal 8 3 2 2 2 4 3 2" xfId="14552" xr:uid="{D3018ED2-8DD6-4187-A91E-AD54F082981F}"/>
    <cellStyle name="Normal 8 3 2 2 2 4 4" xfId="10334" xr:uid="{0A521985-D255-4E4B-9BC5-8F52A05F572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7106A339-C789-4C0B-9263-88464F3B69C0}"/>
    <cellStyle name="Normal 8 3 2 2 2 5 2 3" xfId="12892" xr:uid="{ECDF6ED1-C59E-4962-AA0F-85FE426D9D2D}"/>
    <cellStyle name="Normal 8 3 2 2 2 5 3" xfId="6515" xr:uid="{00000000-0005-0000-0000-0000431D0000}"/>
    <cellStyle name="Normal 8 3 2 2 2 5 3 2" xfId="14965" xr:uid="{08C9F290-C98B-4982-B7E7-A0589C639A33}"/>
    <cellStyle name="Normal 8 3 2 2 2 5 4" xfId="10747" xr:uid="{76A0F76E-D729-4199-B572-87B03CABE575}"/>
    <cellStyle name="Normal 8 3 2 2 2 6" xfId="2645" xr:uid="{00000000-0005-0000-0000-0000441D0000}"/>
    <cellStyle name="Normal 8 3 2 2 2 6 2" xfId="6928" xr:uid="{00000000-0005-0000-0000-0000451D0000}"/>
    <cellStyle name="Normal 8 3 2 2 2 6 2 2" xfId="15378" xr:uid="{E6BD9303-F902-4976-8AE0-1AFF3260C2B7}"/>
    <cellStyle name="Normal 8 3 2 2 2 6 3" xfId="11160" xr:uid="{CBBFD284-D0C0-42AD-8732-9B8AC53089D5}"/>
    <cellStyle name="Normal 8 3 2 2 2 7" xfId="4863" xr:uid="{00000000-0005-0000-0000-0000461D0000}"/>
    <cellStyle name="Normal 8 3 2 2 2 7 2" xfId="13313" xr:uid="{8DAE3414-DE1B-4EF3-B08F-E3535B557029}"/>
    <cellStyle name="Normal 8 3 2 2 2 8" xfId="9095" xr:uid="{F83AA8E0-416F-4CFF-9258-B73E106007A0}"/>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B7AC1600-6280-4FBF-AC9B-31B43F1AD74A}"/>
    <cellStyle name="Normal 8 3 2 2 3 2 3" xfId="11652" xr:uid="{C2A1A8DB-753B-4D0B-9C29-3E92D0F97C8B}"/>
    <cellStyle name="Normal 8 3 2 2 3 3" xfId="5275" xr:uid="{00000000-0005-0000-0000-00004A1D0000}"/>
    <cellStyle name="Normal 8 3 2 2 3 3 2" xfId="13725" xr:uid="{38641DB7-5649-4434-844F-CBD7ACB5CEA7}"/>
    <cellStyle name="Normal 8 3 2 2 3 4" xfId="9507" xr:uid="{C75B7398-F3AD-433B-B62A-5C25CE1BF8EB}"/>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073D26AA-1049-4E05-89F7-5EE4C11FA52C}"/>
    <cellStyle name="Normal 8 3 2 2 4 2 3" xfId="12065" xr:uid="{88903ED5-D177-42B3-B3C3-D5F5DC892E66}"/>
    <cellStyle name="Normal 8 3 2 2 4 3" xfId="5688" xr:uid="{00000000-0005-0000-0000-00004E1D0000}"/>
    <cellStyle name="Normal 8 3 2 2 4 3 2" xfId="14138" xr:uid="{75F76DBD-B0F1-4E50-B613-A465B48972C6}"/>
    <cellStyle name="Normal 8 3 2 2 4 4" xfId="9920" xr:uid="{C5D0756C-3FDF-48E2-BA93-B3E29F9615C0}"/>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D69A64EF-45AB-4FB1-8B20-9FBF772526BC}"/>
    <cellStyle name="Normal 8 3 2 2 5 2 3" xfId="12478" xr:uid="{59A5ABB5-2CD3-4608-8509-5BB44070FFC2}"/>
    <cellStyle name="Normal 8 3 2 2 5 3" xfId="6101" xr:uid="{00000000-0005-0000-0000-0000521D0000}"/>
    <cellStyle name="Normal 8 3 2 2 5 3 2" xfId="14551" xr:uid="{A94CD419-75A5-43FE-8FE0-AC09B8C47494}"/>
    <cellStyle name="Normal 8 3 2 2 5 4" xfId="10333" xr:uid="{CB4442FB-16B6-4655-829C-BD44413FE29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D122B575-E759-47AA-A665-F612CD83CD2F}"/>
    <cellStyle name="Normal 8 3 2 2 6 2 3" xfId="12891" xr:uid="{52435220-6B77-4D8E-98EA-403DFB36E234}"/>
    <cellStyle name="Normal 8 3 2 2 6 3" xfId="6514" xr:uid="{00000000-0005-0000-0000-0000561D0000}"/>
    <cellStyle name="Normal 8 3 2 2 6 3 2" xfId="14964" xr:uid="{25EE5F56-6333-476C-B738-8F0AADE4AF6A}"/>
    <cellStyle name="Normal 8 3 2 2 6 4" xfId="10746" xr:uid="{B235C386-CB26-4AF0-850E-5B59D88C4B18}"/>
    <cellStyle name="Normal 8 3 2 2 7" xfId="2644" xr:uid="{00000000-0005-0000-0000-0000571D0000}"/>
    <cellStyle name="Normal 8 3 2 2 7 2" xfId="6927" xr:uid="{00000000-0005-0000-0000-0000581D0000}"/>
    <cellStyle name="Normal 8 3 2 2 7 2 2" xfId="15377" xr:uid="{3D1DF7C6-DA26-40C1-B84D-6135EB68D555}"/>
    <cellStyle name="Normal 8 3 2 2 7 3" xfId="11159" xr:uid="{67953549-846D-4511-A961-A9D4ABFE073A}"/>
    <cellStyle name="Normal 8 3 2 2 8" xfId="4862" xr:uid="{00000000-0005-0000-0000-0000591D0000}"/>
    <cellStyle name="Normal 8 3 2 2 8 2" xfId="13312" xr:uid="{60684436-1712-4797-9051-0A5E1CE3F88C}"/>
    <cellStyle name="Normal 8 3 2 2 9" xfId="9094" xr:uid="{E3C4D12C-B83E-4DF7-8E8F-FA65C4C0BCAA}"/>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66029501-F0CE-4748-B836-CF63A6902B4B}"/>
    <cellStyle name="Normal 8 3 2 3 2 2 3" xfId="11654" xr:uid="{020C5413-CBB6-4CE4-A964-F3F4A83B4D70}"/>
    <cellStyle name="Normal 8 3 2 3 2 3" xfId="5277" xr:uid="{00000000-0005-0000-0000-00005E1D0000}"/>
    <cellStyle name="Normal 8 3 2 3 2 3 2" xfId="13727" xr:uid="{E715763D-9866-4C3D-99F2-45D60BEB0276}"/>
    <cellStyle name="Normal 8 3 2 3 2 4" xfId="9509" xr:uid="{20F6A3F8-F2EF-459D-9F5E-C9F6569EFBA9}"/>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563019D6-9E89-4A69-BA5B-43BEE6616FCA}"/>
    <cellStyle name="Normal 8 3 2 3 3 2 3" xfId="12067" xr:uid="{0421889F-3197-4370-AD71-85076FF58C86}"/>
    <cellStyle name="Normal 8 3 2 3 3 3" xfId="5690" xr:uid="{00000000-0005-0000-0000-0000621D0000}"/>
    <cellStyle name="Normal 8 3 2 3 3 3 2" xfId="14140" xr:uid="{AAFB2B39-4752-4E0A-8BA2-CFA709F9A266}"/>
    <cellStyle name="Normal 8 3 2 3 3 4" xfId="9922" xr:uid="{D6B5BE1C-FCD3-4FD3-9C1E-851BF1743CF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C7061CB9-9E61-4437-9E98-4BFC7F108A5E}"/>
    <cellStyle name="Normal 8 3 2 3 4 2 3" xfId="12480" xr:uid="{6E5F39D2-5CD3-48A2-BCDD-5E8C5417799C}"/>
    <cellStyle name="Normal 8 3 2 3 4 3" xfId="6103" xr:uid="{00000000-0005-0000-0000-0000661D0000}"/>
    <cellStyle name="Normal 8 3 2 3 4 3 2" xfId="14553" xr:uid="{84A2AC4B-BCB6-4019-9F9D-8CCB027A45E9}"/>
    <cellStyle name="Normal 8 3 2 3 4 4" xfId="10335" xr:uid="{F5B787DB-C40D-46B5-A8F8-CEB0EA0A2521}"/>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31827A7D-D0CF-4588-8A84-0ADC738BAF9C}"/>
    <cellStyle name="Normal 8 3 2 3 5 2 3" xfId="12893" xr:uid="{B33EE523-A237-43A8-83B9-0EB212A982AE}"/>
    <cellStyle name="Normal 8 3 2 3 5 3" xfId="6516" xr:uid="{00000000-0005-0000-0000-00006A1D0000}"/>
    <cellStyle name="Normal 8 3 2 3 5 3 2" xfId="14966" xr:uid="{700B4545-D90C-4C53-A730-301C5028EB37}"/>
    <cellStyle name="Normal 8 3 2 3 5 4" xfId="10748" xr:uid="{9E7B2C48-63D2-4495-ADD9-BDE4766C5134}"/>
    <cellStyle name="Normal 8 3 2 3 6" xfId="2646" xr:uid="{00000000-0005-0000-0000-00006B1D0000}"/>
    <cellStyle name="Normal 8 3 2 3 6 2" xfId="6929" xr:uid="{00000000-0005-0000-0000-00006C1D0000}"/>
    <cellStyle name="Normal 8 3 2 3 6 2 2" xfId="15379" xr:uid="{2DB732E1-0210-4132-A702-190875F0E9B7}"/>
    <cellStyle name="Normal 8 3 2 3 6 3" xfId="11161" xr:uid="{195678AA-220B-4895-BC4C-715DA294EDCF}"/>
    <cellStyle name="Normal 8 3 2 3 7" xfId="4864" xr:uid="{00000000-0005-0000-0000-00006D1D0000}"/>
    <cellStyle name="Normal 8 3 2 3 7 2" xfId="13314" xr:uid="{D0316714-7824-4101-B0D2-93FA7D4C6A02}"/>
    <cellStyle name="Normal 8 3 2 3 8" xfId="9096" xr:uid="{585488FA-5D40-487F-9D2A-DF231C2D0D5B}"/>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3764327B-2C4C-4F95-9F85-6667D7015B20}"/>
    <cellStyle name="Normal 8 3 2 4 2 3" xfId="11651" xr:uid="{83519E67-1BD6-476D-80C4-B7EF931CB525}"/>
    <cellStyle name="Normal 8 3 2 4 3" xfId="5274" xr:uid="{00000000-0005-0000-0000-0000711D0000}"/>
    <cellStyle name="Normal 8 3 2 4 3 2" xfId="13724" xr:uid="{24B20072-F9D4-4EA1-A54D-96692C971E44}"/>
    <cellStyle name="Normal 8 3 2 4 4" xfId="9506" xr:uid="{696B4AFA-202D-49C4-BEB9-BD076151B91C}"/>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8BF0E99F-A879-4856-B285-A6CD7D0DAE5D}"/>
    <cellStyle name="Normal 8 3 2 5 2 3" xfId="12064" xr:uid="{E294D8A7-2BB4-4CA4-A0A0-8382A01B5EA3}"/>
    <cellStyle name="Normal 8 3 2 5 3" xfId="5687" xr:uid="{00000000-0005-0000-0000-0000751D0000}"/>
    <cellStyle name="Normal 8 3 2 5 3 2" xfId="14137" xr:uid="{0692CD81-881C-4390-B0E2-4FD617627C78}"/>
    <cellStyle name="Normal 8 3 2 5 4" xfId="9919" xr:uid="{72AA22B6-7040-47DB-A341-3CAA74529C54}"/>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FFD22D0F-2B39-49B9-A623-1299D3C939BF}"/>
    <cellStyle name="Normal 8 3 2 6 2 3" xfId="12477" xr:uid="{CA0B19A1-23A9-4145-A5D2-3A9632B2CEBF}"/>
    <cellStyle name="Normal 8 3 2 6 3" xfId="6100" xr:uid="{00000000-0005-0000-0000-0000791D0000}"/>
    <cellStyle name="Normal 8 3 2 6 3 2" xfId="14550" xr:uid="{061F00F2-C9F7-4A3A-8CCA-824F23326806}"/>
    <cellStyle name="Normal 8 3 2 6 4" xfId="10332" xr:uid="{2005A821-DA92-4E49-9EAA-0F4E95914A92}"/>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4F518F3D-B7C2-497B-A042-E50EB534E30D}"/>
    <cellStyle name="Normal 8 3 2 7 2 3" xfId="12890" xr:uid="{A23005C4-20B7-4E2A-94FA-96D3AE35F8A9}"/>
    <cellStyle name="Normal 8 3 2 7 3" xfId="6513" xr:uid="{00000000-0005-0000-0000-00007D1D0000}"/>
    <cellStyle name="Normal 8 3 2 7 3 2" xfId="14963" xr:uid="{A34D44B7-DC15-44AB-B6AA-FBDFE41E76B6}"/>
    <cellStyle name="Normal 8 3 2 7 4" xfId="10745" xr:uid="{CE6F2276-4969-4BCB-8A50-61D3816D2DF2}"/>
    <cellStyle name="Normal 8 3 2 8" xfId="2643" xr:uid="{00000000-0005-0000-0000-00007E1D0000}"/>
    <cellStyle name="Normal 8 3 2 8 2" xfId="6926" xr:uid="{00000000-0005-0000-0000-00007F1D0000}"/>
    <cellStyle name="Normal 8 3 2 8 2 2" xfId="15376" xr:uid="{57780985-AB59-4E9C-B803-C0486F16990A}"/>
    <cellStyle name="Normal 8 3 2 8 3" xfId="11158" xr:uid="{989F67EA-D980-4A2F-B420-0C4301FF9181}"/>
    <cellStyle name="Normal 8 3 2 9" xfId="4861" xr:uid="{00000000-0005-0000-0000-0000801D0000}"/>
    <cellStyle name="Normal 8 3 2 9 2" xfId="13311" xr:uid="{BFCC9AEE-5880-4805-8546-AECCA3FF0046}"/>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3D9C4E17-F98F-43AD-8FBB-59F284301FB1}"/>
    <cellStyle name="Normal 8 3 3 2 2 2 3" xfId="11656" xr:uid="{57793AEA-AE10-478C-87FF-A560E3FA5010}"/>
    <cellStyle name="Normal 8 3 3 2 2 3" xfId="5279" xr:uid="{00000000-0005-0000-0000-0000861D0000}"/>
    <cellStyle name="Normal 8 3 3 2 2 3 2" xfId="13729" xr:uid="{B5A28EE9-9070-4223-8CEC-0312AD1A9CEB}"/>
    <cellStyle name="Normal 8 3 3 2 2 4" xfId="9511" xr:uid="{0EBDABEE-FA49-4A55-A202-CCDA12E9B0A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222CE41E-D20F-4D23-B60E-C7A8D5557AE4}"/>
    <cellStyle name="Normal 8 3 3 2 3 2 3" xfId="12069" xr:uid="{3BC68CDF-976D-408F-A1FD-5E385547EE0A}"/>
    <cellStyle name="Normal 8 3 3 2 3 3" xfId="5692" xr:uid="{00000000-0005-0000-0000-00008A1D0000}"/>
    <cellStyle name="Normal 8 3 3 2 3 3 2" xfId="14142" xr:uid="{9981616B-0DF8-4328-843B-D59EB8212B12}"/>
    <cellStyle name="Normal 8 3 3 2 3 4" xfId="9924" xr:uid="{5AD7A758-4015-4213-A087-1FBAE70556C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6463F54C-8F63-4FFE-A089-8C3864C8A88E}"/>
    <cellStyle name="Normal 8 3 3 2 4 2 3" xfId="12482" xr:uid="{B10572AD-E22F-4554-9B6B-B521E5B92DE4}"/>
    <cellStyle name="Normal 8 3 3 2 4 3" xfId="6105" xr:uid="{00000000-0005-0000-0000-00008E1D0000}"/>
    <cellStyle name="Normal 8 3 3 2 4 3 2" xfId="14555" xr:uid="{C635ECDA-91C8-4CD8-91A9-33CDA06D0ABB}"/>
    <cellStyle name="Normal 8 3 3 2 4 4" xfId="10337" xr:uid="{4BF5BAF7-24A2-454E-9FA3-082C680D244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27D2A44B-A286-4542-9896-D6F07BBE3413}"/>
    <cellStyle name="Normal 8 3 3 2 5 2 3" xfId="12895" xr:uid="{D5399F91-D19D-458E-88F7-0048ABC813C1}"/>
    <cellStyle name="Normal 8 3 3 2 5 3" xfId="6518" xr:uid="{00000000-0005-0000-0000-0000921D0000}"/>
    <cellStyle name="Normal 8 3 3 2 5 3 2" xfId="14968" xr:uid="{9F602018-A47A-4093-8829-A10532726983}"/>
    <cellStyle name="Normal 8 3 3 2 5 4" xfId="10750" xr:uid="{F69F6C80-94E9-4C46-9252-D6495B559EF4}"/>
    <cellStyle name="Normal 8 3 3 2 6" xfId="2648" xr:uid="{00000000-0005-0000-0000-0000931D0000}"/>
    <cellStyle name="Normal 8 3 3 2 6 2" xfId="6931" xr:uid="{00000000-0005-0000-0000-0000941D0000}"/>
    <cellStyle name="Normal 8 3 3 2 6 2 2" xfId="15381" xr:uid="{D01EAE44-DDE3-4F38-B22D-765AF8BD34BD}"/>
    <cellStyle name="Normal 8 3 3 2 6 3" xfId="11163" xr:uid="{EDA04A3F-FE98-48F4-B2E1-F5BD197EB149}"/>
    <cellStyle name="Normal 8 3 3 2 7" xfId="4866" xr:uid="{00000000-0005-0000-0000-0000951D0000}"/>
    <cellStyle name="Normal 8 3 3 2 7 2" xfId="13316" xr:uid="{D3B142F2-CE5B-47FD-BC5C-9D9AF9CF801D}"/>
    <cellStyle name="Normal 8 3 3 2 8" xfId="9098" xr:uid="{DE5E12E9-DAAA-48DC-A7B5-A411BD5D371D}"/>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B9B33DEE-3A9C-4ED1-AAA0-E7473FADC6F6}"/>
    <cellStyle name="Normal 8 3 3 3 2 3" xfId="11655" xr:uid="{CBA64B54-05BD-4D67-9843-379E303D4D77}"/>
    <cellStyle name="Normal 8 3 3 3 3" xfId="5278" xr:uid="{00000000-0005-0000-0000-0000991D0000}"/>
    <cellStyle name="Normal 8 3 3 3 3 2" xfId="13728" xr:uid="{11C8F0A0-47A0-45C6-BEEA-A0C35D1627B6}"/>
    <cellStyle name="Normal 8 3 3 3 4" xfId="9510" xr:uid="{125937CA-7F58-4BAD-9EF8-50C2EAF04240}"/>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E8C991AC-4DA0-4EC1-9B82-3E0F33348617}"/>
    <cellStyle name="Normal 8 3 3 4 2 3" xfId="12068" xr:uid="{EC7F1A95-C9F0-42CB-A5D6-174797828A9F}"/>
    <cellStyle name="Normal 8 3 3 4 3" xfId="5691" xr:uid="{00000000-0005-0000-0000-00009D1D0000}"/>
    <cellStyle name="Normal 8 3 3 4 3 2" xfId="14141" xr:uid="{D499040E-19A8-4A44-8D41-D9D4A33F6F89}"/>
    <cellStyle name="Normal 8 3 3 4 4" xfId="9923" xr:uid="{95D79462-F2F3-4A07-B82E-70C39F2D553C}"/>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427BA925-D620-4596-A2E1-56CD24A289C7}"/>
    <cellStyle name="Normal 8 3 3 5 2 3" xfId="12481" xr:uid="{B03CE36E-7364-4E92-8814-3D31DDD943F0}"/>
    <cellStyle name="Normal 8 3 3 5 3" xfId="6104" xr:uid="{00000000-0005-0000-0000-0000A11D0000}"/>
    <cellStyle name="Normal 8 3 3 5 3 2" xfId="14554" xr:uid="{21644B92-6F51-4634-8FA8-3F8B40C2EFB8}"/>
    <cellStyle name="Normal 8 3 3 5 4" xfId="10336" xr:uid="{DAC0ECE2-6031-452C-A879-8911A499861A}"/>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6546FF8D-9F16-4C37-A9EC-AB42E09414D4}"/>
    <cellStyle name="Normal 8 3 3 6 2 3" xfId="12894" xr:uid="{47F5375F-5FE3-4CD0-8FB7-FFC332C5745B}"/>
    <cellStyle name="Normal 8 3 3 6 3" xfId="6517" xr:uid="{00000000-0005-0000-0000-0000A51D0000}"/>
    <cellStyle name="Normal 8 3 3 6 3 2" xfId="14967" xr:uid="{CD86DC52-3865-4F06-9B47-947203DA6EF8}"/>
    <cellStyle name="Normal 8 3 3 6 4" xfId="10749" xr:uid="{CCAAD17D-F15E-4139-8781-AABA74006EE1}"/>
    <cellStyle name="Normal 8 3 3 7" xfId="2647" xr:uid="{00000000-0005-0000-0000-0000A61D0000}"/>
    <cellStyle name="Normal 8 3 3 7 2" xfId="6930" xr:uid="{00000000-0005-0000-0000-0000A71D0000}"/>
    <cellStyle name="Normal 8 3 3 7 2 2" xfId="15380" xr:uid="{3E3860C8-B1A3-4CFF-AFCD-F1B51E69A8FA}"/>
    <cellStyle name="Normal 8 3 3 7 3" xfId="11162" xr:uid="{6A67B8C6-CE2D-4336-9A8B-419E966F7E69}"/>
    <cellStyle name="Normal 8 3 3 8" xfId="4865" xr:uid="{00000000-0005-0000-0000-0000A81D0000}"/>
    <cellStyle name="Normal 8 3 3 8 2" xfId="13315" xr:uid="{78851465-544B-4360-9054-571DE15B3D09}"/>
    <cellStyle name="Normal 8 3 3 9" xfId="9097" xr:uid="{2BA5B952-33B2-4976-A4CE-2995F5BE6B28}"/>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C7DD69A8-6FC2-47F4-8ADF-89AAC14474EE}"/>
    <cellStyle name="Normal 8 3 4 2 2 3" xfId="11657" xr:uid="{EC4F6E93-30F6-42D0-A304-7424D97B756E}"/>
    <cellStyle name="Normal 8 3 4 2 3" xfId="5280" xr:uid="{00000000-0005-0000-0000-0000AD1D0000}"/>
    <cellStyle name="Normal 8 3 4 2 3 2" xfId="13730" xr:uid="{B147703A-3256-4277-8A0B-BDF4250AE77D}"/>
    <cellStyle name="Normal 8 3 4 2 4" xfId="9512" xr:uid="{57663B5F-7D78-4011-B247-EAC8ABB2C834}"/>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CC9260C9-2D63-47C1-9EC2-926D6681F6B8}"/>
    <cellStyle name="Normal 8 3 4 3 2 3" xfId="12070" xr:uid="{DE2CE300-FB90-42F3-9883-52895E330A31}"/>
    <cellStyle name="Normal 8 3 4 3 3" xfId="5693" xr:uid="{00000000-0005-0000-0000-0000B11D0000}"/>
    <cellStyle name="Normal 8 3 4 3 3 2" xfId="14143" xr:uid="{497BA4D6-36F3-4320-9C7B-9E96F745C274}"/>
    <cellStyle name="Normal 8 3 4 3 4" xfId="9925" xr:uid="{41FCAECF-DFAD-47AC-BCB8-D4312BFCB019}"/>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C1A3144E-C179-4343-8420-C3A4775054C9}"/>
    <cellStyle name="Normal 8 3 4 4 2 3" xfId="12483" xr:uid="{8F67340A-66DB-4636-87D1-8B791E5D4C38}"/>
    <cellStyle name="Normal 8 3 4 4 3" xfId="6106" xr:uid="{00000000-0005-0000-0000-0000B51D0000}"/>
    <cellStyle name="Normal 8 3 4 4 3 2" xfId="14556" xr:uid="{A088C637-5B3B-4AA3-937D-3C2E14295132}"/>
    <cellStyle name="Normal 8 3 4 4 4" xfId="10338" xr:uid="{3052FA71-3066-45A8-B27F-97E1F2CBABD8}"/>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E1283DFB-69AF-4953-BC32-90B08E1C711B}"/>
    <cellStyle name="Normal 8 3 4 5 2 3" xfId="12896" xr:uid="{96C1C510-CC11-4294-8A8A-FE71B766EFC1}"/>
    <cellStyle name="Normal 8 3 4 5 3" xfId="6519" xr:uid="{00000000-0005-0000-0000-0000B91D0000}"/>
    <cellStyle name="Normal 8 3 4 5 3 2" xfId="14969" xr:uid="{DD28E330-58C0-438D-B5C4-9086EAA43E6B}"/>
    <cellStyle name="Normal 8 3 4 5 4" xfId="10751" xr:uid="{A0833EC8-45F0-4821-8B4A-89FA3D9BDCB2}"/>
    <cellStyle name="Normal 8 3 4 6" xfId="2649" xr:uid="{00000000-0005-0000-0000-0000BA1D0000}"/>
    <cellStyle name="Normal 8 3 4 6 2" xfId="6932" xr:uid="{00000000-0005-0000-0000-0000BB1D0000}"/>
    <cellStyle name="Normal 8 3 4 6 2 2" xfId="15382" xr:uid="{8C65C9F9-1626-4485-BEDC-629C73BA64A7}"/>
    <cellStyle name="Normal 8 3 4 6 3" xfId="11164" xr:uid="{D23EDED9-ADC2-46AB-A3E1-C0F2C05814D6}"/>
    <cellStyle name="Normal 8 3 4 7" xfId="4867" xr:uid="{00000000-0005-0000-0000-0000BC1D0000}"/>
    <cellStyle name="Normal 8 3 4 7 2" xfId="13317" xr:uid="{C6E322F1-46DF-46C0-B8FD-ED30178E221A}"/>
    <cellStyle name="Normal 8 3 4 8" xfId="9099" xr:uid="{2F9B5725-C9A7-4EC0-AAFA-CF12F88D773C}"/>
    <cellStyle name="Normal 8 3 5" xfId="962" xr:uid="{00000000-0005-0000-0000-0000BD1D0000}"/>
    <cellStyle name="Normal 8 3 5 2" xfId="3196" xr:uid="{00000000-0005-0000-0000-0000BE1D0000}"/>
    <cellStyle name="Normal 8 3 5 2 2" xfId="7418" xr:uid="{00000000-0005-0000-0000-0000BF1D0000}"/>
    <cellStyle name="Normal 8 3 5 2 2 2" xfId="15868" xr:uid="{87552D6C-DD28-46EE-A6CB-2E2C3FEBBB78}"/>
    <cellStyle name="Normal 8 3 5 2 3" xfId="11650" xr:uid="{C802C35E-8F76-49AA-BD40-D2823A2A923B}"/>
    <cellStyle name="Normal 8 3 5 3" xfId="5273" xr:uid="{00000000-0005-0000-0000-0000C01D0000}"/>
    <cellStyle name="Normal 8 3 5 3 2" xfId="13723" xr:uid="{FE8A7849-EBAE-4BB6-880D-39E8F8DBF846}"/>
    <cellStyle name="Normal 8 3 5 4" xfId="9505" xr:uid="{E349EB2E-1A5F-48CB-9F6F-4BFD380A8344}"/>
    <cellStyle name="Normal 8 3 6" xfId="1379" xr:uid="{00000000-0005-0000-0000-0000C11D0000}"/>
    <cellStyle name="Normal 8 3 6 2" xfId="3609" xr:uid="{00000000-0005-0000-0000-0000C21D0000}"/>
    <cellStyle name="Normal 8 3 6 2 2" xfId="7831" xr:uid="{00000000-0005-0000-0000-0000C31D0000}"/>
    <cellStyle name="Normal 8 3 6 2 2 2" xfId="16281" xr:uid="{55CEFBEE-EAD5-4A09-818F-7694E93810D0}"/>
    <cellStyle name="Normal 8 3 6 2 3" xfId="12063" xr:uid="{3ECF0042-7E5C-4574-8FD1-B9FB83A1FCC7}"/>
    <cellStyle name="Normal 8 3 6 3" xfId="5686" xr:uid="{00000000-0005-0000-0000-0000C41D0000}"/>
    <cellStyle name="Normal 8 3 6 3 2" xfId="14136" xr:uid="{F4A95FE8-B430-4D2C-9381-A34078FEA0D1}"/>
    <cellStyle name="Normal 8 3 6 4" xfId="9918" xr:uid="{F2AC9164-D285-4592-9FB5-2F1E5D4C4C85}"/>
    <cellStyle name="Normal 8 3 7" xfId="1792" xr:uid="{00000000-0005-0000-0000-0000C51D0000}"/>
    <cellStyle name="Normal 8 3 7 2" xfId="4022" xr:uid="{00000000-0005-0000-0000-0000C61D0000}"/>
    <cellStyle name="Normal 8 3 7 2 2" xfId="8244" xr:uid="{00000000-0005-0000-0000-0000C71D0000}"/>
    <cellStyle name="Normal 8 3 7 2 2 2" xfId="16694" xr:uid="{3FA1A16C-86AC-4BE0-BA4B-B6C2784206A5}"/>
    <cellStyle name="Normal 8 3 7 2 3" xfId="12476" xr:uid="{5120F059-56B8-4DD9-9B68-2F5F730C0717}"/>
    <cellStyle name="Normal 8 3 7 3" xfId="6099" xr:uid="{00000000-0005-0000-0000-0000C81D0000}"/>
    <cellStyle name="Normal 8 3 7 3 2" xfId="14549" xr:uid="{90AF4B6D-45E7-4218-B380-5F234D40FCC1}"/>
    <cellStyle name="Normal 8 3 7 4" xfId="10331" xr:uid="{52213B47-3348-4FAC-A192-E10BD2030626}"/>
    <cellStyle name="Normal 8 3 8" xfId="2206" xr:uid="{00000000-0005-0000-0000-0000C91D0000}"/>
    <cellStyle name="Normal 8 3 8 2" xfId="4435" xr:uid="{00000000-0005-0000-0000-0000CA1D0000}"/>
    <cellStyle name="Normal 8 3 8 2 2" xfId="8657" xr:uid="{00000000-0005-0000-0000-0000CB1D0000}"/>
    <cellStyle name="Normal 8 3 8 2 2 2" xfId="17107" xr:uid="{896B3821-A8BC-4DA5-9683-BA8A1E19AF00}"/>
    <cellStyle name="Normal 8 3 8 2 3" xfId="12889" xr:uid="{A0E3CC3A-84E8-4EBF-AAB2-50E91950E539}"/>
    <cellStyle name="Normal 8 3 8 3" xfId="6512" xr:uid="{00000000-0005-0000-0000-0000CC1D0000}"/>
    <cellStyle name="Normal 8 3 8 3 2" xfId="14962" xr:uid="{D3B5D41F-1C45-403D-8335-9055A03EEB6E}"/>
    <cellStyle name="Normal 8 3 8 4" xfId="10744" xr:uid="{971EF1A4-5A60-426F-AC48-B1B8BD6D0322}"/>
    <cellStyle name="Normal 8 3 9" xfId="2642" xr:uid="{00000000-0005-0000-0000-0000CD1D0000}"/>
    <cellStyle name="Normal 8 3 9 2" xfId="6925" xr:uid="{00000000-0005-0000-0000-0000CE1D0000}"/>
    <cellStyle name="Normal 8 3 9 2 2" xfId="15375" xr:uid="{82348F94-092B-4A2C-B973-D1ABEC6BCF23}"/>
    <cellStyle name="Normal 8 3 9 3" xfId="11157" xr:uid="{0E99ECC1-F15A-4093-B654-99DE363A85CC}"/>
    <cellStyle name="Normal 8 4" xfId="503" xr:uid="{00000000-0005-0000-0000-0000CF1D0000}"/>
    <cellStyle name="Normal 8 4 10" xfId="9100" xr:uid="{E0F62326-3746-496C-83FF-C6233C3B766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6AEF1BB4-2A12-43B3-B0F2-1F51BEDF4314}"/>
    <cellStyle name="Normal 8 4 2 2 2 2 3" xfId="11660" xr:uid="{35F57979-D9F4-4E5F-BC2F-F01D1C66CF47}"/>
    <cellStyle name="Normal 8 4 2 2 2 3" xfId="5283" xr:uid="{00000000-0005-0000-0000-0000D51D0000}"/>
    <cellStyle name="Normal 8 4 2 2 2 3 2" xfId="13733" xr:uid="{A9D2DD2A-D1B8-440E-A870-B42BFC9030A3}"/>
    <cellStyle name="Normal 8 4 2 2 2 4" xfId="9515" xr:uid="{F3DBAAEB-7080-46D5-A08A-53B4F0B67617}"/>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83EB1122-6511-4D60-98AA-F4ECF4726B61}"/>
    <cellStyle name="Normal 8 4 2 2 3 2 3" xfId="12073" xr:uid="{C67A7D7B-7E83-4BA5-A498-458193617AFB}"/>
    <cellStyle name="Normal 8 4 2 2 3 3" xfId="5696" xr:uid="{00000000-0005-0000-0000-0000D91D0000}"/>
    <cellStyle name="Normal 8 4 2 2 3 3 2" xfId="14146" xr:uid="{D4237BEE-192C-408F-BAA7-3B00E4C709E1}"/>
    <cellStyle name="Normal 8 4 2 2 3 4" xfId="9928" xr:uid="{7B559DD3-9837-473C-9C35-C80E0588A15E}"/>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AA5D78AE-75B9-426F-A83D-2FE2B1F2926D}"/>
    <cellStyle name="Normal 8 4 2 2 4 2 3" xfId="12486" xr:uid="{E928B61F-08DB-4938-A01D-3FCD0303F546}"/>
    <cellStyle name="Normal 8 4 2 2 4 3" xfId="6109" xr:uid="{00000000-0005-0000-0000-0000DD1D0000}"/>
    <cellStyle name="Normal 8 4 2 2 4 3 2" xfId="14559" xr:uid="{1B2B5FFC-49F6-4F59-96A0-8AC97C7611B2}"/>
    <cellStyle name="Normal 8 4 2 2 4 4" xfId="10341" xr:uid="{82A7A85C-FC4A-4E05-A7C5-DF4A6399ED73}"/>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11FDAC49-F705-4643-9A5F-E3641D65E500}"/>
    <cellStyle name="Normal 8 4 2 2 5 2 3" xfId="12899" xr:uid="{80640710-ABE2-440A-B9BE-0345B7E31676}"/>
    <cellStyle name="Normal 8 4 2 2 5 3" xfId="6522" xr:uid="{00000000-0005-0000-0000-0000E11D0000}"/>
    <cellStyle name="Normal 8 4 2 2 5 3 2" xfId="14972" xr:uid="{359CD2B9-FED2-4F21-BB6F-15B1361CBA38}"/>
    <cellStyle name="Normal 8 4 2 2 5 4" xfId="10754" xr:uid="{371C59A9-4BFF-4714-A3EA-C5BF0AD9ECAA}"/>
    <cellStyle name="Normal 8 4 2 2 6" xfId="2652" xr:uid="{00000000-0005-0000-0000-0000E21D0000}"/>
    <cellStyle name="Normal 8 4 2 2 6 2" xfId="6935" xr:uid="{00000000-0005-0000-0000-0000E31D0000}"/>
    <cellStyle name="Normal 8 4 2 2 6 2 2" xfId="15385" xr:uid="{B85E6B12-7A37-4F50-BA77-1341F3A21FF2}"/>
    <cellStyle name="Normal 8 4 2 2 6 3" xfId="11167" xr:uid="{6256469A-CBFD-419E-ACB3-B453822A1B28}"/>
    <cellStyle name="Normal 8 4 2 2 7" xfId="4870" xr:uid="{00000000-0005-0000-0000-0000E41D0000}"/>
    <cellStyle name="Normal 8 4 2 2 7 2" xfId="13320" xr:uid="{2D7452AB-1379-446E-A769-D68FDDE48478}"/>
    <cellStyle name="Normal 8 4 2 2 8" xfId="9102" xr:uid="{91FE7996-1761-4E79-B789-BE48A005181D}"/>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20D944D5-5D15-49C3-8F96-4BE6944A4D73}"/>
    <cellStyle name="Normal 8 4 2 3 2 3" xfId="11659" xr:uid="{721BAF67-CA7D-479A-BA7A-E1755AC4E8D6}"/>
    <cellStyle name="Normal 8 4 2 3 3" xfId="5282" xr:uid="{00000000-0005-0000-0000-0000E81D0000}"/>
    <cellStyle name="Normal 8 4 2 3 3 2" xfId="13732" xr:uid="{4D7DD119-AB3F-40B0-9CE3-7FA54587BA05}"/>
    <cellStyle name="Normal 8 4 2 3 4" xfId="9514" xr:uid="{394C2A7F-C2B8-4CE6-AAB7-AF57BFC29E50}"/>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EB7B62E2-E304-4D47-B2E0-CFAE4E47CB7B}"/>
    <cellStyle name="Normal 8 4 2 4 2 3" xfId="12072" xr:uid="{39ECDCAD-9AA8-4CA4-ADF0-BBA1CF918C15}"/>
    <cellStyle name="Normal 8 4 2 4 3" xfId="5695" xr:uid="{00000000-0005-0000-0000-0000EC1D0000}"/>
    <cellStyle name="Normal 8 4 2 4 3 2" xfId="14145" xr:uid="{62B0248A-171C-43A7-A135-9E18255988D1}"/>
    <cellStyle name="Normal 8 4 2 4 4" xfId="9927" xr:uid="{7C5783B9-CC60-4967-9306-CE4CD0554503}"/>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228C0906-62EB-4232-8760-153376939E42}"/>
    <cellStyle name="Normal 8 4 2 5 2 3" xfId="12485" xr:uid="{42257A54-6D06-4F76-8B6F-68B391128CE6}"/>
    <cellStyle name="Normal 8 4 2 5 3" xfId="6108" xr:uid="{00000000-0005-0000-0000-0000F01D0000}"/>
    <cellStyle name="Normal 8 4 2 5 3 2" xfId="14558" xr:uid="{2AB62FAF-A12A-47AF-ADEA-EB5A6F4B909F}"/>
    <cellStyle name="Normal 8 4 2 5 4" xfId="10340" xr:uid="{6C13746A-31B3-4974-98DA-C5F34723E6DF}"/>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10BABA18-5541-462A-9A4A-4AEB907F5732}"/>
    <cellStyle name="Normal 8 4 2 6 2 3" xfId="12898" xr:uid="{3C8A0B42-95BC-493D-AC69-A3AF9F78ECE7}"/>
    <cellStyle name="Normal 8 4 2 6 3" xfId="6521" xr:uid="{00000000-0005-0000-0000-0000F41D0000}"/>
    <cellStyle name="Normal 8 4 2 6 3 2" xfId="14971" xr:uid="{5F517071-7AA3-4139-A212-6A53238753B7}"/>
    <cellStyle name="Normal 8 4 2 6 4" xfId="10753" xr:uid="{BC1E80D0-C35E-424F-AC84-EE6AF9A9281D}"/>
    <cellStyle name="Normal 8 4 2 7" xfId="2651" xr:uid="{00000000-0005-0000-0000-0000F51D0000}"/>
    <cellStyle name="Normal 8 4 2 7 2" xfId="6934" xr:uid="{00000000-0005-0000-0000-0000F61D0000}"/>
    <cellStyle name="Normal 8 4 2 7 2 2" xfId="15384" xr:uid="{7A30561C-B2CF-417D-B11D-88DD0E31D3B7}"/>
    <cellStyle name="Normal 8 4 2 7 3" xfId="11166" xr:uid="{836917A0-A668-4018-BC58-EFD4DF4D30C5}"/>
    <cellStyle name="Normal 8 4 2 8" xfId="4869" xr:uid="{00000000-0005-0000-0000-0000F71D0000}"/>
    <cellStyle name="Normal 8 4 2 8 2" xfId="13319" xr:uid="{B24D3124-BB27-4F08-84F5-AC928032FCE7}"/>
    <cellStyle name="Normal 8 4 2 9" xfId="9101" xr:uid="{38CB1B77-9435-41B7-8BD1-655E0C1164A4}"/>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808F93BF-7AE9-479B-B18E-CCF2701B853A}"/>
    <cellStyle name="Normal 8 4 3 2 2 3" xfId="11661" xr:uid="{D742F210-BA05-40F2-98DD-17AD8C24387D}"/>
    <cellStyle name="Normal 8 4 3 2 3" xfId="5284" xr:uid="{00000000-0005-0000-0000-0000FC1D0000}"/>
    <cellStyle name="Normal 8 4 3 2 3 2" xfId="13734" xr:uid="{5EE9EF8E-6378-4EDD-8E42-291E7B543DCA}"/>
    <cellStyle name="Normal 8 4 3 2 4" xfId="9516" xr:uid="{75AEF2AA-2770-4ACE-B8F8-5C2205040351}"/>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B60D386E-6E66-43AC-A7C9-1EC5AE8DE0D5}"/>
    <cellStyle name="Normal 8 4 3 3 2 3" xfId="12074" xr:uid="{16F53862-DD62-45FB-BC87-7B0B1797992D}"/>
    <cellStyle name="Normal 8 4 3 3 3" xfId="5697" xr:uid="{00000000-0005-0000-0000-0000001E0000}"/>
    <cellStyle name="Normal 8 4 3 3 3 2" xfId="14147" xr:uid="{9ABB0CAB-63ED-4BD7-8B8B-54EE4AE44135}"/>
    <cellStyle name="Normal 8 4 3 3 4" xfId="9929" xr:uid="{19350D98-DEFC-4747-BB19-23CAE4F66FE5}"/>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AEEEAD2F-6476-449B-B95B-3D57C3A7AE41}"/>
    <cellStyle name="Normal 8 4 3 4 2 3" xfId="12487" xr:uid="{49BB344B-8112-4143-A491-F812654C6836}"/>
    <cellStyle name="Normal 8 4 3 4 3" xfId="6110" xr:uid="{00000000-0005-0000-0000-0000041E0000}"/>
    <cellStyle name="Normal 8 4 3 4 3 2" xfId="14560" xr:uid="{644165B5-A124-49BB-994A-F12A57D53E17}"/>
    <cellStyle name="Normal 8 4 3 4 4" xfId="10342" xr:uid="{C71E715C-E277-4F24-84C3-63C9BCF8EADD}"/>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4688916-832A-4DD6-9853-771CCA53F316}"/>
    <cellStyle name="Normal 8 4 3 5 2 3" xfId="12900" xr:uid="{A535B73F-0B3D-455D-9C02-3498DFE9557D}"/>
    <cellStyle name="Normal 8 4 3 5 3" xfId="6523" xr:uid="{00000000-0005-0000-0000-0000081E0000}"/>
    <cellStyle name="Normal 8 4 3 5 3 2" xfId="14973" xr:uid="{AC1AEBAC-BBFE-4813-BD6C-835A336AED8D}"/>
    <cellStyle name="Normal 8 4 3 5 4" xfId="10755" xr:uid="{D07B8C8B-CB33-402A-947C-BEF6452F25C8}"/>
    <cellStyle name="Normal 8 4 3 6" xfId="2653" xr:uid="{00000000-0005-0000-0000-0000091E0000}"/>
    <cellStyle name="Normal 8 4 3 6 2" xfId="6936" xr:uid="{00000000-0005-0000-0000-00000A1E0000}"/>
    <cellStyle name="Normal 8 4 3 6 2 2" xfId="15386" xr:uid="{D8D4B12B-E507-4694-A555-CDA953BDC0E9}"/>
    <cellStyle name="Normal 8 4 3 6 3" xfId="11168" xr:uid="{1CAC089A-558A-4361-BCD6-19683FE0FA5E}"/>
    <cellStyle name="Normal 8 4 3 7" xfId="4871" xr:uid="{00000000-0005-0000-0000-00000B1E0000}"/>
    <cellStyle name="Normal 8 4 3 7 2" xfId="13321" xr:uid="{4ED83F75-7487-47F8-92A7-F5EDB2A2CD78}"/>
    <cellStyle name="Normal 8 4 3 8" xfId="9103" xr:uid="{DB9921B5-543C-4172-BF01-20E987375156}"/>
    <cellStyle name="Normal 8 4 4" xfId="970" xr:uid="{00000000-0005-0000-0000-00000C1E0000}"/>
    <cellStyle name="Normal 8 4 4 2" xfId="3204" xr:uid="{00000000-0005-0000-0000-00000D1E0000}"/>
    <cellStyle name="Normal 8 4 4 2 2" xfId="7426" xr:uid="{00000000-0005-0000-0000-00000E1E0000}"/>
    <cellStyle name="Normal 8 4 4 2 2 2" xfId="15876" xr:uid="{160E58C1-57E5-4C83-A654-16A772B320CB}"/>
    <cellStyle name="Normal 8 4 4 2 3" xfId="11658" xr:uid="{F0EFD6B9-DDA5-450A-A9C2-75F9327927AB}"/>
    <cellStyle name="Normal 8 4 4 3" xfId="5281" xr:uid="{00000000-0005-0000-0000-00000F1E0000}"/>
    <cellStyle name="Normal 8 4 4 3 2" xfId="13731" xr:uid="{4EEB3CF9-2E94-42C4-866C-F2EA59F7FA6C}"/>
    <cellStyle name="Normal 8 4 4 4" xfId="9513" xr:uid="{0D943086-6366-4693-8EB8-6D4235E52B22}"/>
    <cellStyle name="Normal 8 4 5" xfId="1387" xr:uid="{00000000-0005-0000-0000-0000101E0000}"/>
    <cellStyle name="Normal 8 4 5 2" xfId="3617" xr:uid="{00000000-0005-0000-0000-0000111E0000}"/>
    <cellStyle name="Normal 8 4 5 2 2" xfId="7839" xr:uid="{00000000-0005-0000-0000-0000121E0000}"/>
    <cellStyle name="Normal 8 4 5 2 2 2" xfId="16289" xr:uid="{0C8360E5-2E62-4128-83C8-DB3219B4E242}"/>
    <cellStyle name="Normal 8 4 5 2 3" xfId="12071" xr:uid="{99CB4D00-895C-4360-8934-298A98B547C4}"/>
    <cellStyle name="Normal 8 4 5 3" xfId="5694" xr:uid="{00000000-0005-0000-0000-0000131E0000}"/>
    <cellStyle name="Normal 8 4 5 3 2" xfId="14144" xr:uid="{5E681331-03E5-4883-9068-92433812E6D7}"/>
    <cellStyle name="Normal 8 4 5 4" xfId="9926" xr:uid="{DAD7C41E-F639-4FC5-A841-CDE839AF9475}"/>
    <cellStyle name="Normal 8 4 6" xfId="1800" xr:uid="{00000000-0005-0000-0000-0000141E0000}"/>
    <cellStyle name="Normal 8 4 6 2" xfId="4030" xr:uid="{00000000-0005-0000-0000-0000151E0000}"/>
    <cellStyle name="Normal 8 4 6 2 2" xfId="8252" xr:uid="{00000000-0005-0000-0000-0000161E0000}"/>
    <cellStyle name="Normal 8 4 6 2 2 2" xfId="16702" xr:uid="{303505A4-99AE-4120-A5D1-FAF7475D9AD3}"/>
    <cellStyle name="Normal 8 4 6 2 3" xfId="12484" xr:uid="{144894D8-7DE4-4933-B3C0-BB9CE46CED2C}"/>
    <cellStyle name="Normal 8 4 6 3" xfId="6107" xr:uid="{00000000-0005-0000-0000-0000171E0000}"/>
    <cellStyle name="Normal 8 4 6 3 2" xfId="14557" xr:uid="{7560749A-D84E-484F-B1A8-DD9F0F1B709F}"/>
    <cellStyle name="Normal 8 4 6 4" xfId="10339" xr:uid="{178C63E5-DA02-4248-91ED-C660D3D2F4AA}"/>
    <cellStyle name="Normal 8 4 7" xfId="2214" xr:uid="{00000000-0005-0000-0000-0000181E0000}"/>
    <cellStyle name="Normal 8 4 7 2" xfId="4443" xr:uid="{00000000-0005-0000-0000-0000191E0000}"/>
    <cellStyle name="Normal 8 4 7 2 2" xfId="8665" xr:uid="{00000000-0005-0000-0000-00001A1E0000}"/>
    <cellStyle name="Normal 8 4 7 2 2 2" xfId="17115" xr:uid="{27086476-2101-41BB-8F70-4B96C2718D6D}"/>
    <cellStyle name="Normal 8 4 7 2 3" xfId="12897" xr:uid="{57F5BE79-8C21-431A-A3F9-CF441CDFA9E9}"/>
    <cellStyle name="Normal 8 4 7 3" xfId="6520" xr:uid="{00000000-0005-0000-0000-00001B1E0000}"/>
    <cellStyle name="Normal 8 4 7 3 2" xfId="14970" xr:uid="{9A63F9D1-4F47-4B28-BD04-7BE9A71BD722}"/>
    <cellStyle name="Normal 8 4 7 4" xfId="10752" xr:uid="{EEEDE239-3078-42F1-AF79-ADC1A903FE92}"/>
    <cellStyle name="Normal 8 4 8" xfId="2650" xr:uid="{00000000-0005-0000-0000-00001C1E0000}"/>
    <cellStyle name="Normal 8 4 8 2" xfId="6933" xr:uid="{00000000-0005-0000-0000-00001D1E0000}"/>
    <cellStyle name="Normal 8 4 8 2 2" xfId="15383" xr:uid="{9DD34D1A-3CBC-4410-B292-2F8838BF5083}"/>
    <cellStyle name="Normal 8 4 8 3" xfId="11165" xr:uid="{5FE1609F-3233-43A9-8449-124A3FB7B523}"/>
    <cellStyle name="Normal 8 4 9" xfId="4868" xr:uid="{00000000-0005-0000-0000-00001E1E0000}"/>
    <cellStyle name="Normal 8 4 9 2" xfId="13318" xr:uid="{8800F803-E4AA-4DFE-9ABA-7EBAA93DA59C}"/>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57C3F6FF-36FB-402C-BFAC-B3E7116BD5E2}"/>
    <cellStyle name="Normal 8 5 2 2 2 3" xfId="11663" xr:uid="{451ACB5E-0F0D-4C33-95AB-135BBE0F4A7A}"/>
    <cellStyle name="Normal 8 5 2 2 3" xfId="5286" xr:uid="{00000000-0005-0000-0000-0000241E0000}"/>
    <cellStyle name="Normal 8 5 2 2 3 2" xfId="13736" xr:uid="{562D2C0C-2E12-424C-AA5C-0AC432D0DECB}"/>
    <cellStyle name="Normal 8 5 2 2 4" xfId="9518" xr:uid="{F1A02DA9-CA2C-49EC-AC4C-A08BE2D6F30E}"/>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1FC85AAA-B6D0-491C-A05B-C40557E82A18}"/>
    <cellStyle name="Normal 8 5 2 3 2 3" xfId="12076" xr:uid="{57D57FA2-6FD1-450E-8470-F656D2C2D1FA}"/>
    <cellStyle name="Normal 8 5 2 3 3" xfId="5699" xr:uid="{00000000-0005-0000-0000-0000281E0000}"/>
    <cellStyle name="Normal 8 5 2 3 3 2" xfId="14149" xr:uid="{CACEB214-4FB7-4534-B99A-22A7ACE51C0F}"/>
    <cellStyle name="Normal 8 5 2 3 4" xfId="9931" xr:uid="{B6D66D22-8B60-4E4F-8892-A805F6B8E54F}"/>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F0C0F47F-ABCF-4908-B3DA-C2F0B5258648}"/>
    <cellStyle name="Normal 8 5 2 4 2 3" xfId="12489" xr:uid="{CD89C007-A393-4386-825F-22D53FB28C3E}"/>
    <cellStyle name="Normal 8 5 2 4 3" xfId="6112" xr:uid="{00000000-0005-0000-0000-00002C1E0000}"/>
    <cellStyle name="Normal 8 5 2 4 3 2" xfId="14562" xr:uid="{DCC78E0D-6145-43BA-8336-72432D2A6DF8}"/>
    <cellStyle name="Normal 8 5 2 4 4" xfId="10344" xr:uid="{4290F7CB-E7C7-4494-995B-CB1882A61A2B}"/>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3B9DE8D7-4987-414C-A3FF-8BB90B4A32A9}"/>
    <cellStyle name="Normal 8 5 2 5 2 3" xfId="12902" xr:uid="{1B968768-2745-44CA-8C6B-14B1DBF8F03D}"/>
    <cellStyle name="Normal 8 5 2 5 3" xfId="6525" xr:uid="{00000000-0005-0000-0000-0000301E0000}"/>
    <cellStyle name="Normal 8 5 2 5 3 2" xfId="14975" xr:uid="{0C574EA9-E96B-432B-A6FE-D8C4D5B033F2}"/>
    <cellStyle name="Normal 8 5 2 5 4" xfId="10757" xr:uid="{ED10EBB7-5272-4E3E-A45C-A2B53622AFFB}"/>
    <cellStyle name="Normal 8 5 2 6" xfId="2655" xr:uid="{00000000-0005-0000-0000-0000311E0000}"/>
    <cellStyle name="Normal 8 5 2 6 2" xfId="6938" xr:uid="{00000000-0005-0000-0000-0000321E0000}"/>
    <cellStyle name="Normal 8 5 2 6 2 2" xfId="15388" xr:uid="{F1D6143D-F05D-4A82-B702-9BB9B2EB7E8C}"/>
    <cellStyle name="Normal 8 5 2 6 3" xfId="11170" xr:uid="{E4AE1866-5F7D-46D4-AB18-267E6E5055A1}"/>
    <cellStyle name="Normal 8 5 2 7" xfId="4873" xr:uid="{00000000-0005-0000-0000-0000331E0000}"/>
    <cellStyle name="Normal 8 5 2 7 2" xfId="13323" xr:uid="{DACF11AD-D97B-4CA3-A25C-D9AEC8F7A5AE}"/>
    <cellStyle name="Normal 8 5 2 8" xfId="9105" xr:uid="{7DF4B272-430A-47D4-BDCB-DA0E6C36F893}"/>
    <cellStyle name="Normal 8 5 3" xfId="974" xr:uid="{00000000-0005-0000-0000-0000341E0000}"/>
    <cellStyle name="Normal 8 5 3 2" xfId="3208" xr:uid="{00000000-0005-0000-0000-0000351E0000}"/>
    <cellStyle name="Normal 8 5 3 2 2" xfId="7430" xr:uid="{00000000-0005-0000-0000-0000361E0000}"/>
    <cellStyle name="Normal 8 5 3 2 2 2" xfId="15880" xr:uid="{180F6387-8695-46CB-A12A-47A62EB7FDE8}"/>
    <cellStyle name="Normal 8 5 3 2 3" xfId="11662" xr:uid="{AD310DF1-B1E3-45AB-846F-5FFDDB146A09}"/>
    <cellStyle name="Normal 8 5 3 3" xfId="5285" xr:uid="{00000000-0005-0000-0000-0000371E0000}"/>
    <cellStyle name="Normal 8 5 3 3 2" xfId="13735" xr:uid="{62CBB33B-AE8B-45C2-B061-11F791F4289D}"/>
    <cellStyle name="Normal 8 5 3 4" xfId="9517" xr:uid="{3146A9D2-7EAE-4F79-8391-54356A286AE3}"/>
    <cellStyle name="Normal 8 5 4" xfId="1391" xr:uid="{00000000-0005-0000-0000-0000381E0000}"/>
    <cellStyle name="Normal 8 5 4 2" xfId="3621" xr:uid="{00000000-0005-0000-0000-0000391E0000}"/>
    <cellStyle name="Normal 8 5 4 2 2" xfId="7843" xr:uid="{00000000-0005-0000-0000-00003A1E0000}"/>
    <cellStyle name="Normal 8 5 4 2 2 2" xfId="16293" xr:uid="{7982FC99-95EB-4E53-8756-3A46454F8543}"/>
    <cellStyle name="Normal 8 5 4 2 3" xfId="12075" xr:uid="{A39DDEEE-DB0A-42B9-B29B-F9A30BF0D8C5}"/>
    <cellStyle name="Normal 8 5 4 3" xfId="5698" xr:uid="{00000000-0005-0000-0000-00003B1E0000}"/>
    <cellStyle name="Normal 8 5 4 3 2" xfId="14148" xr:uid="{AEDC7BBA-35DA-4A42-968B-0015D4BF9F86}"/>
    <cellStyle name="Normal 8 5 4 4" xfId="9930" xr:uid="{9AC238A4-8126-46CB-B806-A4660BD241AF}"/>
    <cellStyle name="Normal 8 5 5" xfId="1804" xr:uid="{00000000-0005-0000-0000-00003C1E0000}"/>
    <cellStyle name="Normal 8 5 5 2" xfId="4034" xr:uid="{00000000-0005-0000-0000-00003D1E0000}"/>
    <cellStyle name="Normal 8 5 5 2 2" xfId="8256" xr:uid="{00000000-0005-0000-0000-00003E1E0000}"/>
    <cellStyle name="Normal 8 5 5 2 2 2" xfId="16706" xr:uid="{F239FE59-5488-4E66-8E99-62E1E8D1603E}"/>
    <cellStyle name="Normal 8 5 5 2 3" xfId="12488" xr:uid="{6BBBE590-9FCB-4A64-B9F2-F4BFAF673094}"/>
    <cellStyle name="Normal 8 5 5 3" xfId="6111" xr:uid="{00000000-0005-0000-0000-00003F1E0000}"/>
    <cellStyle name="Normal 8 5 5 3 2" xfId="14561" xr:uid="{CF4B197E-7280-44D0-81B5-A330EDEAAF26}"/>
    <cellStyle name="Normal 8 5 5 4" xfId="10343" xr:uid="{9B74F24E-BEBE-4775-8728-F288E8BD0A04}"/>
    <cellStyle name="Normal 8 5 6" xfId="2218" xr:uid="{00000000-0005-0000-0000-0000401E0000}"/>
    <cellStyle name="Normal 8 5 6 2" xfId="4447" xr:uid="{00000000-0005-0000-0000-0000411E0000}"/>
    <cellStyle name="Normal 8 5 6 2 2" xfId="8669" xr:uid="{00000000-0005-0000-0000-0000421E0000}"/>
    <cellStyle name="Normal 8 5 6 2 2 2" xfId="17119" xr:uid="{03E620ED-D38C-438B-9823-38EA3DC771AE}"/>
    <cellStyle name="Normal 8 5 6 2 3" xfId="12901" xr:uid="{52F1A759-C3CF-4811-899C-262E686E8543}"/>
    <cellStyle name="Normal 8 5 6 3" xfId="6524" xr:uid="{00000000-0005-0000-0000-0000431E0000}"/>
    <cellStyle name="Normal 8 5 6 3 2" xfId="14974" xr:uid="{F1337513-B5D9-46ED-B992-F12FA93DB383}"/>
    <cellStyle name="Normal 8 5 6 4" xfId="10756" xr:uid="{938EAB35-9A9A-4E55-AE3A-944BCD317BDE}"/>
    <cellStyle name="Normal 8 5 7" xfId="2654" xr:uid="{00000000-0005-0000-0000-0000441E0000}"/>
    <cellStyle name="Normal 8 5 7 2" xfId="6937" xr:uid="{00000000-0005-0000-0000-0000451E0000}"/>
    <cellStyle name="Normal 8 5 7 2 2" xfId="15387" xr:uid="{DA06C2DE-B55B-4123-9F56-B84FCACA911E}"/>
    <cellStyle name="Normal 8 5 7 3" xfId="11169" xr:uid="{7142CD8C-16C1-483C-82B1-7440B5C2C852}"/>
    <cellStyle name="Normal 8 5 8" xfId="4872" xr:uid="{00000000-0005-0000-0000-0000461E0000}"/>
    <cellStyle name="Normal 8 5 8 2" xfId="13322" xr:uid="{054B8A28-8CB9-416F-982D-A0F3AE51BCEF}"/>
    <cellStyle name="Normal 8 5 9" xfId="9104" xr:uid="{E294EBFD-6DF1-4EF2-967E-603640F165A4}"/>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E8626179-3211-47B3-A52F-78484053F724}"/>
    <cellStyle name="Normal 8 6 2 2 3" xfId="11664" xr:uid="{DF42CD17-7BA5-428D-ADB9-CD272FDBA313}"/>
    <cellStyle name="Normal 8 6 2 3" xfId="5287" xr:uid="{00000000-0005-0000-0000-00004B1E0000}"/>
    <cellStyle name="Normal 8 6 2 3 2" xfId="13737" xr:uid="{DD6AAF6D-38CE-46C6-85DC-488CF2E662DD}"/>
    <cellStyle name="Normal 8 6 2 4" xfId="9519" xr:uid="{ED366C1D-7613-4CEE-AF0F-BD7BA9AC521A}"/>
    <cellStyle name="Normal 8 6 3" xfId="1393" xr:uid="{00000000-0005-0000-0000-00004C1E0000}"/>
    <cellStyle name="Normal 8 6 3 2" xfId="3623" xr:uid="{00000000-0005-0000-0000-00004D1E0000}"/>
    <cellStyle name="Normal 8 6 3 2 2" xfId="7845" xr:uid="{00000000-0005-0000-0000-00004E1E0000}"/>
    <cellStyle name="Normal 8 6 3 2 2 2" xfId="16295" xr:uid="{ACD2A3A1-691C-4DCF-836C-E2AF9BAA534F}"/>
    <cellStyle name="Normal 8 6 3 2 3" xfId="12077" xr:uid="{9DFDAA8A-EB68-4391-A434-B1DC32900E4B}"/>
    <cellStyle name="Normal 8 6 3 3" xfId="5700" xr:uid="{00000000-0005-0000-0000-00004F1E0000}"/>
    <cellStyle name="Normal 8 6 3 3 2" xfId="14150" xr:uid="{883DC0BE-7B5B-469B-B1D9-4D968AC7218D}"/>
    <cellStyle name="Normal 8 6 3 4" xfId="9932" xr:uid="{C2ACBB94-539A-4946-97AB-37C04177098C}"/>
    <cellStyle name="Normal 8 6 4" xfId="1806" xr:uid="{00000000-0005-0000-0000-0000501E0000}"/>
    <cellStyle name="Normal 8 6 4 2" xfId="4036" xr:uid="{00000000-0005-0000-0000-0000511E0000}"/>
    <cellStyle name="Normal 8 6 4 2 2" xfId="8258" xr:uid="{00000000-0005-0000-0000-0000521E0000}"/>
    <cellStyle name="Normal 8 6 4 2 2 2" xfId="16708" xr:uid="{B091ED3B-E662-4AD5-9AB9-A8879A45C7C7}"/>
    <cellStyle name="Normal 8 6 4 2 3" xfId="12490" xr:uid="{BA1B76C8-134F-434F-8316-A6782A8ECB3D}"/>
    <cellStyle name="Normal 8 6 4 3" xfId="6113" xr:uid="{00000000-0005-0000-0000-0000531E0000}"/>
    <cellStyle name="Normal 8 6 4 3 2" xfId="14563" xr:uid="{583C4F6F-5551-4419-B2C5-FB87F942D09C}"/>
    <cellStyle name="Normal 8 6 4 4" xfId="10345" xr:uid="{7910D1F0-4E1E-430A-AE29-951CBD214BAF}"/>
    <cellStyle name="Normal 8 6 5" xfId="2220" xr:uid="{00000000-0005-0000-0000-0000541E0000}"/>
    <cellStyle name="Normal 8 6 5 2" xfId="4449" xr:uid="{00000000-0005-0000-0000-0000551E0000}"/>
    <cellStyle name="Normal 8 6 5 2 2" xfId="8671" xr:uid="{00000000-0005-0000-0000-0000561E0000}"/>
    <cellStyle name="Normal 8 6 5 2 2 2" xfId="17121" xr:uid="{CEBE2152-C908-4D49-8727-957DDBD3B665}"/>
    <cellStyle name="Normal 8 6 5 2 3" xfId="12903" xr:uid="{787D9057-EAB1-4CC4-82B0-ABC8981CFE75}"/>
    <cellStyle name="Normal 8 6 5 3" xfId="6526" xr:uid="{00000000-0005-0000-0000-0000571E0000}"/>
    <cellStyle name="Normal 8 6 5 3 2" xfId="14976" xr:uid="{1F9398A7-0567-44D9-9C3D-B7A9AA650E66}"/>
    <cellStyle name="Normal 8 6 5 4" xfId="10758" xr:uid="{1B9D73C6-91E4-4FEF-BBED-DAC9D377796E}"/>
    <cellStyle name="Normal 8 6 6" xfId="2656" xr:uid="{00000000-0005-0000-0000-0000581E0000}"/>
    <cellStyle name="Normal 8 6 6 2" xfId="6939" xr:uid="{00000000-0005-0000-0000-0000591E0000}"/>
    <cellStyle name="Normal 8 6 6 2 2" xfId="15389" xr:uid="{4B7D3804-A9D8-4875-892C-2E10DA6E6CD7}"/>
    <cellStyle name="Normal 8 6 6 3" xfId="11171" xr:uid="{48C040BA-5393-45BE-AF8D-2CE38CFBA2B9}"/>
    <cellStyle name="Normal 8 6 7" xfId="4874" xr:uid="{00000000-0005-0000-0000-00005A1E0000}"/>
    <cellStyle name="Normal 8 6 7 2" xfId="13324" xr:uid="{EA7F8DE7-4B66-4243-9709-D0789ECE446D}"/>
    <cellStyle name="Normal 8 6 8" xfId="9106" xr:uid="{D36A0089-0858-450A-A617-48D000999AA1}"/>
    <cellStyle name="Normal 8 7" xfId="945" xr:uid="{00000000-0005-0000-0000-00005B1E0000}"/>
    <cellStyle name="Normal 8 7 2" xfId="3179" xr:uid="{00000000-0005-0000-0000-00005C1E0000}"/>
    <cellStyle name="Normal 8 7 2 2" xfId="7401" xr:uid="{00000000-0005-0000-0000-00005D1E0000}"/>
    <cellStyle name="Normal 8 7 2 2 2" xfId="15851" xr:uid="{BC755167-C232-4668-9A36-B9A1565FDD27}"/>
    <cellStyle name="Normal 8 7 2 3" xfId="11633" xr:uid="{13FBA0C2-E173-4B89-8D8D-4E5A23FADECF}"/>
    <cellStyle name="Normal 8 7 3" xfId="5256" xr:uid="{00000000-0005-0000-0000-00005E1E0000}"/>
    <cellStyle name="Normal 8 7 3 2" xfId="13706" xr:uid="{C031E30B-F274-4155-8307-CC6EADE5BC62}"/>
    <cellStyle name="Normal 8 7 4" xfId="9488" xr:uid="{94711F8B-58C6-48D5-87AF-35778B3FFEA4}"/>
    <cellStyle name="Normal 8 8" xfId="1362" xr:uid="{00000000-0005-0000-0000-00005F1E0000}"/>
    <cellStyle name="Normal 8 8 2" xfId="3592" xr:uid="{00000000-0005-0000-0000-0000601E0000}"/>
    <cellStyle name="Normal 8 8 2 2" xfId="7814" xr:uid="{00000000-0005-0000-0000-0000611E0000}"/>
    <cellStyle name="Normal 8 8 2 2 2" xfId="16264" xr:uid="{F2C3A65B-B497-4E70-8A76-91A53882C9AF}"/>
    <cellStyle name="Normal 8 8 2 3" xfId="12046" xr:uid="{0329BAD6-33CC-4E06-BFF4-F66FB0726B10}"/>
    <cellStyle name="Normal 8 8 3" xfId="5669" xr:uid="{00000000-0005-0000-0000-0000621E0000}"/>
    <cellStyle name="Normal 8 8 3 2" xfId="14119" xr:uid="{9D8352AB-F339-4955-93C7-CEEAE6AA616B}"/>
    <cellStyle name="Normal 8 8 4" xfId="9901" xr:uid="{816E149A-D0D9-4485-B931-9EEA4011F994}"/>
    <cellStyle name="Normal 8 9" xfId="1775" xr:uid="{00000000-0005-0000-0000-0000631E0000}"/>
    <cellStyle name="Normal 8 9 2" xfId="4005" xr:uid="{00000000-0005-0000-0000-0000641E0000}"/>
    <cellStyle name="Normal 8 9 2 2" xfId="8227" xr:uid="{00000000-0005-0000-0000-0000651E0000}"/>
    <cellStyle name="Normal 8 9 2 2 2" xfId="16677" xr:uid="{C76538F4-379B-4998-A9BE-7162A6AC801B}"/>
    <cellStyle name="Normal 8 9 2 3" xfId="12459" xr:uid="{FA6AF0C6-0674-42C8-8004-CD63AA920B61}"/>
    <cellStyle name="Normal 8 9 3" xfId="6082" xr:uid="{00000000-0005-0000-0000-0000661E0000}"/>
    <cellStyle name="Normal 8 9 3 2" xfId="14532" xr:uid="{98BD3B10-62C6-4B46-824B-537E2EF6AAB2}"/>
    <cellStyle name="Normal 8 9 4" xfId="10314" xr:uid="{49705EBE-C219-4313-8073-8DB5FFAAA5B3}"/>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D5BD7A83-F1F7-4616-BEE6-7B88E93461A3}"/>
    <cellStyle name="Normal 9 2 10 3" xfId="11172" xr:uid="{FDE49315-CA57-4859-926C-F9DAD216DF96}"/>
    <cellStyle name="Normal 9 2 11" xfId="4875" xr:uid="{00000000-0005-0000-0000-00006B1E0000}"/>
    <cellStyle name="Normal 9 2 11 2" xfId="13325" xr:uid="{F8F8EA30-CFBC-4A00-B179-F210BE0F6F6D}"/>
    <cellStyle name="Normal 9 2 12" xfId="9107" xr:uid="{D301D3C6-D6BA-460C-95FD-E59CA28F9E3D}"/>
    <cellStyle name="Normal 9 2 2" xfId="512" xr:uid="{00000000-0005-0000-0000-00006C1E0000}"/>
    <cellStyle name="Normal 9 2 2 10" xfId="4876" xr:uid="{00000000-0005-0000-0000-00006D1E0000}"/>
    <cellStyle name="Normal 9 2 2 10 2" xfId="13326" xr:uid="{366DB0F3-EC73-4C13-99B3-0B257C8140B1}"/>
    <cellStyle name="Normal 9 2 2 11" xfId="9108" xr:uid="{525EC2A2-AFDC-483F-950A-3A40DA23216F}"/>
    <cellStyle name="Normal 9 2 2 2" xfId="513" xr:uid="{00000000-0005-0000-0000-00006E1E0000}"/>
    <cellStyle name="Normal 9 2 2 2 10" xfId="9109" xr:uid="{063984A9-90C5-47D9-B6BE-38FF30D0A824}"/>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4FED6AA3-CC92-4220-99BD-7211498DB1A5}"/>
    <cellStyle name="Normal 9 2 2 2 2 2 2 2 3" xfId="11669" xr:uid="{E5C80F4A-EA49-4ACB-A150-986B9FC3CF41}"/>
    <cellStyle name="Normal 9 2 2 2 2 2 2 3" xfId="5292" xr:uid="{00000000-0005-0000-0000-0000741E0000}"/>
    <cellStyle name="Normal 9 2 2 2 2 2 2 3 2" xfId="13742" xr:uid="{15F426DD-271E-4005-ABA5-4A5394BCFE66}"/>
    <cellStyle name="Normal 9 2 2 2 2 2 2 4" xfId="9524" xr:uid="{99D0BF85-A0CE-459B-B7E1-8BA913B4AEA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87AD9371-E87C-40A1-9E2D-7E31BB390615}"/>
    <cellStyle name="Normal 9 2 2 2 2 2 3 2 3" xfId="12082" xr:uid="{C16A0097-35C7-40C7-A3AA-E7E257342E55}"/>
    <cellStyle name="Normal 9 2 2 2 2 2 3 3" xfId="5705" xr:uid="{00000000-0005-0000-0000-0000781E0000}"/>
    <cellStyle name="Normal 9 2 2 2 2 2 3 3 2" xfId="14155" xr:uid="{B62FF488-70D2-4FB0-A613-FCA7574AD961}"/>
    <cellStyle name="Normal 9 2 2 2 2 2 3 4" xfId="9937" xr:uid="{2D9537AA-AE6A-4CC4-B20D-3690D9E7CBF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895E56DD-1A1A-4755-85FA-7E985EB9F402}"/>
    <cellStyle name="Normal 9 2 2 2 2 2 4 2 3" xfId="12495" xr:uid="{A3211185-B449-4584-8193-5E48B4372837}"/>
    <cellStyle name="Normal 9 2 2 2 2 2 4 3" xfId="6118" xr:uid="{00000000-0005-0000-0000-00007C1E0000}"/>
    <cellStyle name="Normal 9 2 2 2 2 2 4 3 2" xfId="14568" xr:uid="{316986B1-1E21-4EF1-BDD7-B03FB5E3A5F2}"/>
    <cellStyle name="Normal 9 2 2 2 2 2 4 4" xfId="10350" xr:uid="{A3145606-A76D-468E-A832-B74C0B7D6903}"/>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FF4EFBFE-71ED-4CC4-A2D0-D23098A6FB13}"/>
    <cellStyle name="Normal 9 2 2 2 2 2 5 2 3" xfId="12908" xr:uid="{40ECBC5B-DBC4-4DCD-800E-34DF62F05C2F}"/>
    <cellStyle name="Normal 9 2 2 2 2 2 5 3" xfId="6531" xr:uid="{00000000-0005-0000-0000-0000801E0000}"/>
    <cellStyle name="Normal 9 2 2 2 2 2 5 3 2" xfId="14981" xr:uid="{21B5F435-7DE9-4B82-B5CB-2664B11BAEC7}"/>
    <cellStyle name="Normal 9 2 2 2 2 2 5 4" xfId="10763" xr:uid="{92F5BACF-D6EE-440D-8628-B47DE4E05933}"/>
    <cellStyle name="Normal 9 2 2 2 2 2 6" xfId="2661" xr:uid="{00000000-0005-0000-0000-0000811E0000}"/>
    <cellStyle name="Normal 9 2 2 2 2 2 6 2" xfId="6944" xr:uid="{00000000-0005-0000-0000-0000821E0000}"/>
    <cellStyle name="Normal 9 2 2 2 2 2 6 2 2" xfId="15394" xr:uid="{16020087-CB25-4845-899D-9C5C94CE094A}"/>
    <cellStyle name="Normal 9 2 2 2 2 2 6 3" xfId="11176" xr:uid="{7E10C7D5-4C17-4D2A-8F6B-D9BE37760125}"/>
    <cellStyle name="Normal 9 2 2 2 2 2 7" xfId="4879" xr:uid="{00000000-0005-0000-0000-0000831E0000}"/>
    <cellStyle name="Normal 9 2 2 2 2 2 7 2" xfId="13329" xr:uid="{7699520F-4DFE-4E26-8E53-961A24D4675B}"/>
    <cellStyle name="Normal 9 2 2 2 2 2 8" xfId="9111" xr:uid="{D1DE9412-A4BF-451B-B176-D1A8AF73CC47}"/>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0ADE2876-FD76-4CDB-9531-8AE609A85D6E}"/>
    <cellStyle name="Normal 9 2 2 2 2 3 2 3" xfId="11668" xr:uid="{F9B9A39F-2990-4881-BC11-E78F2F6F278C}"/>
    <cellStyle name="Normal 9 2 2 2 2 3 3" xfId="5291" xr:uid="{00000000-0005-0000-0000-0000871E0000}"/>
    <cellStyle name="Normal 9 2 2 2 2 3 3 2" xfId="13741" xr:uid="{320A42D5-8003-4FFD-854D-554A6D91E02E}"/>
    <cellStyle name="Normal 9 2 2 2 2 3 4" xfId="9523" xr:uid="{27876424-5295-44A5-AF6A-4B9A32DFCB5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8FE19442-7A9C-4AC7-8120-6E1C74D52900}"/>
    <cellStyle name="Normal 9 2 2 2 2 4 2 3" xfId="12081" xr:uid="{D226385E-AE43-4C0E-8680-DB47C7AEC224}"/>
    <cellStyle name="Normal 9 2 2 2 2 4 3" xfId="5704" xr:uid="{00000000-0005-0000-0000-00008B1E0000}"/>
    <cellStyle name="Normal 9 2 2 2 2 4 3 2" xfId="14154" xr:uid="{AC8BC8AB-B759-4DA6-9619-B0883E6C68F8}"/>
    <cellStyle name="Normal 9 2 2 2 2 4 4" xfId="9936" xr:uid="{D04BB0A7-E0FA-42A6-AF09-4382A4D5B71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CDB53BE3-5770-46E2-9C26-2C3E8DA62F89}"/>
    <cellStyle name="Normal 9 2 2 2 2 5 2 3" xfId="12494" xr:uid="{C6FF8E98-094E-4D8C-960A-877B85F0FEC7}"/>
    <cellStyle name="Normal 9 2 2 2 2 5 3" xfId="6117" xr:uid="{00000000-0005-0000-0000-00008F1E0000}"/>
    <cellStyle name="Normal 9 2 2 2 2 5 3 2" xfId="14567" xr:uid="{802C4593-3339-4953-8724-13C0B86FB59D}"/>
    <cellStyle name="Normal 9 2 2 2 2 5 4" xfId="10349" xr:uid="{F645C73E-2C80-4B90-9554-656B965B261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10D2EA51-A6F8-4FF6-A86A-BBD6D0EF5061}"/>
    <cellStyle name="Normal 9 2 2 2 2 6 2 3" xfId="12907" xr:uid="{EDE745FF-B046-4308-AA2F-9AC5A5735BD1}"/>
    <cellStyle name="Normal 9 2 2 2 2 6 3" xfId="6530" xr:uid="{00000000-0005-0000-0000-0000931E0000}"/>
    <cellStyle name="Normal 9 2 2 2 2 6 3 2" xfId="14980" xr:uid="{42925067-9F98-4506-BC0B-1674E3460A1F}"/>
    <cellStyle name="Normal 9 2 2 2 2 6 4" xfId="10762" xr:uid="{75963CEE-02B4-42C9-992A-A312A192C3D9}"/>
    <cellStyle name="Normal 9 2 2 2 2 7" xfId="2660" xr:uid="{00000000-0005-0000-0000-0000941E0000}"/>
    <cellStyle name="Normal 9 2 2 2 2 7 2" xfId="6943" xr:uid="{00000000-0005-0000-0000-0000951E0000}"/>
    <cellStyle name="Normal 9 2 2 2 2 7 2 2" xfId="15393" xr:uid="{6BE7B3BE-B5E1-4095-81D4-C70651C93CB7}"/>
    <cellStyle name="Normal 9 2 2 2 2 7 3" xfId="11175" xr:uid="{252AF052-D87E-4599-8933-695455754365}"/>
    <cellStyle name="Normal 9 2 2 2 2 8" xfId="4878" xr:uid="{00000000-0005-0000-0000-0000961E0000}"/>
    <cellStyle name="Normal 9 2 2 2 2 8 2" xfId="13328" xr:uid="{D72BC054-12A4-4706-8EE3-C7AF4DDB8810}"/>
    <cellStyle name="Normal 9 2 2 2 2 9" xfId="9110" xr:uid="{66068886-A690-40BA-9A35-D7924F338D3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D5E8C900-6E7C-43D2-9176-4873AD804946}"/>
    <cellStyle name="Normal 9 2 2 2 3 2 2 3" xfId="11670" xr:uid="{8F9F3E0D-7C71-4FAF-9072-8B087500C2E2}"/>
    <cellStyle name="Normal 9 2 2 2 3 2 3" xfId="5293" xr:uid="{00000000-0005-0000-0000-00009B1E0000}"/>
    <cellStyle name="Normal 9 2 2 2 3 2 3 2" xfId="13743" xr:uid="{18641869-A014-461C-9FA8-EAD67775371F}"/>
    <cellStyle name="Normal 9 2 2 2 3 2 4" xfId="9525" xr:uid="{A902E6A0-1A0E-4991-9E45-11F2019C693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A7F7A93E-F61F-49D5-8B68-A0FEEDDAEEAC}"/>
    <cellStyle name="Normal 9 2 2 2 3 3 2 3" xfId="12083" xr:uid="{77FBB5C9-A52C-41F5-8E28-9912A31D469D}"/>
    <cellStyle name="Normal 9 2 2 2 3 3 3" xfId="5706" xr:uid="{00000000-0005-0000-0000-00009F1E0000}"/>
    <cellStyle name="Normal 9 2 2 2 3 3 3 2" xfId="14156" xr:uid="{A168EEC3-4BE1-4DEC-8323-2A4E8441EE10}"/>
    <cellStyle name="Normal 9 2 2 2 3 3 4" xfId="9938" xr:uid="{8E6B5AB0-F63A-4BC8-B6DD-19239CECFECB}"/>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BAAE58B7-E57A-4107-BF20-2AB6FA5A035A}"/>
    <cellStyle name="Normal 9 2 2 2 3 4 2 3" xfId="12496" xr:uid="{C2B39D88-7DD1-4699-A9E9-BF24692A9D16}"/>
    <cellStyle name="Normal 9 2 2 2 3 4 3" xfId="6119" xr:uid="{00000000-0005-0000-0000-0000A31E0000}"/>
    <cellStyle name="Normal 9 2 2 2 3 4 3 2" xfId="14569" xr:uid="{3AA6FECC-2D7B-4AC5-953C-A90040FCFB6E}"/>
    <cellStyle name="Normal 9 2 2 2 3 4 4" xfId="10351" xr:uid="{A90E3B22-EE3E-49D4-B5EC-F1EA23930C2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67231101-D190-425A-9472-C23239143FCB}"/>
    <cellStyle name="Normal 9 2 2 2 3 5 2 3" xfId="12909" xr:uid="{3BA26FF0-732D-45A8-9F83-71862885179D}"/>
    <cellStyle name="Normal 9 2 2 2 3 5 3" xfId="6532" xr:uid="{00000000-0005-0000-0000-0000A71E0000}"/>
    <cellStyle name="Normal 9 2 2 2 3 5 3 2" xfId="14982" xr:uid="{B5E53B49-E5CC-4B01-AA78-2E79ABF34E05}"/>
    <cellStyle name="Normal 9 2 2 2 3 5 4" xfId="10764" xr:uid="{AD2F96E2-FB6B-48A1-A021-2D8C499AD862}"/>
    <cellStyle name="Normal 9 2 2 2 3 6" xfId="2662" xr:uid="{00000000-0005-0000-0000-0000A81E0000}"/>
    <cellStyle name="Normal 9 2 2 2 3 6 2" xfId="6945" xr:uid="{00000000-0005-0000-0000-0000A91E0000}"/>
    <cellStyle name="Normal 9 2 2 2 3 6 2 2" xfId="15395" xr:uid="{DED2A291-9606-4374-82CB-3111F3DA841B}"/>
    <cellStyle name="Normal 9 2 2 2 3 6 3" xfId="11177" xr:uid="{0150BE53-86A4-4621-B981-A3D50526B721}"/>
    <cellStyle name="Normal 9 2 2 2 3 7" xfId="4880" xr:uid="{00000000-0005-0000-0000-0000AA1E0000}"/>
    <cellStyle name="Normal 9 2 2 2 3 7 2" xfId="13330" xr:uid="{CA28FCB1-7437-4B70-9B2A-C6B4AD03D5D6}"/>
    <cellStyle name="Normal 9 2 2 2 3 8" xfId="9112" xr:uid="{4CE47251-B2E7-4637-81CC-D10BC645EEEF}"/>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A4376D20-37C7-4759-B1CC-54F16A4C4701}"/>
    <cellStyle name="Normal 9 2 2 2 4 2 3" xfId="11667" xr:uid="{72A1B3B1-2E7A-4C08-BD16-446DC1825153}"/>
    <cellStyle name="Normal 9 2 2 2 4 3" xfId="5290" xr:uid="{00000000-0005-0000-0000-0000AE1E0000}"/>
    <cellStyle name="Normal 9 2 2 2 4 3 2" xfId="13740" xr:uid="{49FDADF9-DE83-4BAA-9F6F-8D96D6B6F60F}"/>
    <cellStyle name="Normal 9 2 2 2 4 4" xfId="9522" xr:uid="{DC5DF839-F7D8-4E88-B3A1-468F6FAA0CD9}"/>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2D6A4E3E-D7FB-4F42-9844-FDC3C0183F78}"/>
    <cellStyle name="Normal 9 2 2 2 5 2 3" xfId="12080" xr:uid="{4EF3856C-A431-4780-AF85-E79C144EF400}"/>
    <cellStyle name="Normal 9 2 2 2 5 3" xfId="5703" xr:uid="{00000000-0005-0000-0000-0000B21E0000}"/>
    <cellStyle name="Normal 9 2 2 2 5 3 2" xfId="14153" xr:uid="{1ED6C686-4948-4803-B099-62A0CBC27921}"/>
    <cellStyle name="Normal 9 2 2 2 5 4" xfId="9935" xr:uid="{83BD570B-157B-435B-9E9D-257872636DF4}"/>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A3CD2E17-1BB4-46EA-91FE-B6EFD2CDA452}"/>
    <cellStyle name="Normal 9 2 2 2 6 2 3" xfId="12493" xr:uid="{2668C60D-E70C-47C0-9B36-61D137A39121}"/>
    <cellStyle name="Normal 9 2 2 2 6 3" xfId="6116" xr:uid="{00000000-0005-0000-0000-0000B61E0000}"/>
    <cellStyle name="Normal 9 2 2 2 6 3 2" xfId="14566" xr:uid="{9879F62D-2DA2-40C5-83AA-6994ACE021D1}"/>
    <cellStyle name="Normal 9 2 2 2 6 4" xfId="10348" xr:uid="{D4B5018C-524D-4C0D-B660-A63FF3B08BCE}"/>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D0627280-AC7D-440B-9A4C-F323ED1B069E}"/>
    <cellStyle name="Normal 9 2 2 2 7 2 3" xfId="12906" xr:uid="{7B07547E-DA85-4F22-B660-775F7A9B6B18}"/>
    <cellStyle name="Normal 9 2 2 2 7 3" xfId="6529" xr:uid="{00000000-0005-0000-0000-0000BA1E0000}"/>
    <cellStyle name="Normal 9 2 2 2 7 3 2" xfId="14979" xr:uid="{C0D30CBB-3816-4454-BE5A-4C8897F7E22B}"/>
    <cellStyle name="Normal 9 2 2 2 7 4" xfId="10761" xr:uid="{D3118E08-07D5-45AF-93DA-0720E40DBCB6}"/>
    <cellStyle name="Normal 9 2 2 2 8" xfId="2659" xr:uid="{00000000-0005-0000-0000-0000BB1E0000}"/>
    <cellStyle name="Normal 9 2 2 2 8 2" xfId="6942" xr:uid="{00000000-0005-0000-0000-0000BC1E0000}"/>
    <cellStyle name="Normal 9 2 2 2 8 2 2" xfId="15392" xr:uid="{8C08B0EA-FCCE-4D4A-A693-13056D552DD9}"/>
    <cellStyle name="Normal 9 2 2 2 8 3" xfId="11174" xr:uid="{0A317705-4BE7-4540-8AF0-831E811F7D0C}"/>
    <cellStyle name="Normal 9 2 2 2 9" xfId="4877" xr:uid="{00000000-0005-0000-0000-0000BD1E0000}"/>
    <cellStyle name="Normal 9 2 2 2 9 2" xfId="13327" xr:uid="{16AD871F-91D6-4821-B860-30727E54289E}"/>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9D989C31-6590-400C-BA00-C73718772E72}"/>
    <cellStyle name="Normal 9 2 2 3 2 2 2 3" xfId="11672" xr:uid="{9F69DE1D-6B88-4664-AFBB-3BF3F46778EC}"/>
    <cellStyle name="Normal 9 2 2 3 2 2 3" xfId="5295" xr:uid="{00000000-0005-0000-0000-0000C31E0000}"/>
    <cellStyle name="Normal 9 2 2 3 2 2 3 2" xfId="13745" xr:uid="{03B461B7-7805-411B-8A95-70200A345BFA}"/>
    <cellStyle name="Normal 9 2 2 3 2 2 4" xfId="9527" xr:uid="{5C930F22-6866-40BA-9D29-F0F4481F059C}"/>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85F5E87C-E13B-44C9-B489-98B394FDDC81}"/>
    <cellStyle name="Normal 9 2 2 3 2 3 2 3" xfId="12085" xr:uid="{07114F3F-FCF3-403D-8398-CFE190AE5FA2}"/>
    <cellStyle name="Normal 9 2 2 3 2 3 3" xfId="5708" xr:uid="{00000000-0005-0000-0000-0000C71E0000}"/>
    <cellStyle name="Normal 9 2 2 3 2 3 3 2" xfId="14158" xr:uid="{955F6FB2-34A9-4D42-99E0-AF989EC116A8}"/>
    <cellStyle name="Normal 9 2 2 3 2 3 4" xfId="9940" xr:uid="{A76065BF-57D2-4B42-87B0-CDCEF8F2F3F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EB12A69F-6D4E-453A-8C6A-832D20405460}"/>
    <cellStyle name="Normal 9 2 2 3 2 4 2 3" xfId="12498" xr:uid="{424E985D-3C04-4672-9C76-3DF9BAA3DB9E}"/>
    <cellStyle name="Normal 9 2 2 3 2 4 3" xfId="6121" xr:uid="{00000000-0005-0000-0000-0000CB1E0000}"/>
    <cellStyle name="Normal 9 2 2 3 2 4 3 2" xfId="14571" xr:uid="{BCC238F5-1C95-47FA-A481-4D7C7A288F33}"/>
    <cellStyle name="Normal 9 2 2 3 2 4 4" xfId="10353" xr:uid="{E3C0C874-B66C-4F7A-9458-79C42BA99C6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87A2E683-F3BA-48EB-A215-50DDA060A657}"/>
    <cellStyle name="Normal 9 2 2 3 2 5 2 3" xfId="12911" xr:uid="{92ACE6FE-0774-40A4-B5AA-A9F26F41E575}"/>
    <cellStyle name="Normal 9 2 2 3 2 5 3" xfId="6534" xr:uid="{00000000-0005-0000-0000-0000CF1E0000}"/>
    <cellStyle name="Normal 9 2 2 3 2 5 3 2" xfId="14984" xr:uid="{1FECB57F-1AE4-4694-AEDE-72E03E3B6CF4}"/>
    <cellStyle name="Normal 9 2 2 3 2 5 4" xfId="10766" xr:uid="{C5044171-6987-42D4-B0E2-5A6FB562BA04}"/>
    <cellStyle name="Normal 9 2 2 3 2 6" xfId="2664" xr:uid="{00000000-0005-0000-0000-0000D01E0000}"/>
    <cellStyle name="Normal 9 2 2 3 2 6 2" xfId="6947" xr:uid="{00000000-0005-0000-0000-0000D11E0000}"/>
    <cellStyle name="Normal 9 2 2 3 2 6 2 2" xfId="15397" xr:uid="{E71E3A81-6836-42A2-B803-A4BC53782DA7}"/>
    <cellStyle name="Normal 9 2 2 3 2 6 3" xfId="11179" xr:uid="{D9232846-5A97-423B-999C-918066F36C00}"/>
    <cellStyle name="Normal 9 2 2 3 2 7" xfId="4882" xr:uid="{00000000-0005-0000-0000-0000D21E0000}"/>
    <cellStyle name="Normal 9 2 2 3 2 7 2" xfId="13332" xr:uid="{8856BAA7-663B-49BC-873A-D0FF608C6B0D}"/>
    <cellStyle name="Normal 9 2 2 3 2 8" xfId="9114" xr:uid="{885F4FBD-F156-4E2C-8FCD-F90218D8CBA7}"/>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1C71305B-4B11-4B98-9A87-624884AD4A76}"/>
    <cellStyle name="Normal 9 2 2 3 3 2 3" xfId="11671" xr:uid="{EF0392CB-46DD-4B33-B8F9-43605304B9F6}"/>
    <cellStyle name="Normal 9 2 2 3 3 3" xfId="5294" xr:uid="{00000000-0005-0000-0000-0000D61E0000}"/>
    <cellStyle name="Normal 9 2 2 3 3 3 2" xfId="13744" xr:uid="{E9A4B8B8-53F2-4106-B5E1-7B0650AE4DE1}"/>
    <cellStyle name="Normal 9 2 2 3 3 4" xfId="9526" xr:uid="{B024031B-385E-47C9-9828-BAEA89696580}"/>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FEA6B7B1-23FE-4F47-BF18-99B2E7ADB9DD}"/>
    <cellStyle name="Normal 9 2 2 3 4 2 3" xfId="12084" xr:uid="{97F47D06-E0ED-4C06-A574-659B1916DC1A}"/>
    <cellStyle name="Normal 9 2 2 3 4 3" xfId="5707" xr:uid="{00000000-0005-0000-0000-0000DA1E0000}"/>
    <cellStyle name="Normal 9 2 2 3 4 3 2" xfId="14157" xr:uid="{FDCB8E1A-4D83-4917-9269-6DF8B036CDEB}"/>
    <cellStyle name="Normal 9 2 2 3 4 4" xfId="9939" xr:uid="{D4831E03-EF85-4718-8C29-80CF4BE7BD4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0D0F8893-2DA1-42A9-9593-DC6D5DD408C9}"/>
    <cellStyle name="Normal 9 2 2 3 5 2 3" xfId="12497" xr:uid="{E449E329-4635-477B-A7BC-4D1639FB0468}"/>
    <cellStyle name="Normal 9 2 2 3 5 3" xfId="6120" xr:uid="{00000000-0005-0000-0000-0000DE1E0000}"/>
    <cellStyle name="Normal 9 2 2 3 5 3 2" xfId="14570" xr:uid="{5003B1F8-D8BE-4DC6-9D90-7A47CA88A0F2}"/>
    <cellStyle name="Normal 9 2 2 3 5 4" xfId="10352" xr:uid="{04E6FEA2-DC55-435B-94E5-ABC6537981DA}"/>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52CCBCE9-3544-48DA-B370-D141A54A8F6C}"/>
    <cellStyle name="Normal 9 2 2 3 6 2 3" xfId="12910" xr:uid="{19ACBB8E-37EA-4748-87B8-23BEBD76B279}"/>
    <cellStyle name="Normal 9 2 2 3 6 3" xfId="6533" xr:uid="{00000000-0005-0000-0000-0000E21E0000}"/>
    <cellStyle name="Normal 9 2 2 3 6 3 2" xfId="14983" xr:uid="{CC71DA65-B736-4371-8C73-C06D550B9807}"/>
    <cellStyle name="Normal 9 2 2 3 6 4" xfId="10765" xr:uid="{C545A0A7-A3F3-40D6-B30C-900F1BD33FD9}"/>
    <cellStyle name="Normal 9 2 2 3 7" xfId="2663" xr:uid="{00000000-0005-0000-0000-0000E31E0000}"/>
    <cellStyle name="Normal 9 2 2 3 7 2" xfId="6946" xr:uid="{00000000-0005-0000-0000-0000E41E0000}"/>
    <cellStyle name="Normal 9 2 2 3 7 2 2" xfId="15396" xr:uid="{35A8F5A3-8D36-4AA3-9039-E321BFD6D9D9}"/>
    <cellStyle name="Normal 9 2 2 3 7 3" xfId="11178" xr:uid="{0A338E17-BA8D-4D11-AFF8-5C7C82E1779C}"/>
    <cellStyle name="Normal 9 2 2 3 8" xfId="4881" xr:uid="{00000000-0005-0000-0000-0000E51E0000}"/>
    <cellStyle name="Normal 9 2 2 3 8 2" xfId="13331" xr:uid="{4D7F7C25-20D5-4F7E-9D08-BFEDD6A48D6E}"/>
    <cellStyle name="Normal 9 2 2 3 9" xfId="9113" xr:uid="{01C1D80D-C51C-40D5-8672-9B137390BA68}"/>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16AAFA6C-0772-46E6-B2E3-2B7CA4A657F8}"/>
    <cellStyle name="Normal 9 2 2 4 2 2 3" xfId="11673" xr:uid="{0EF06410-9828-4051-AB8A-ECD561AF5A0E}"/>
    <cellStyle name="Normal 9 2 2 4 2 3" xfId="5296" xr:uid="{00000000-0005-0000-0000-0000EA1E0000}"/>
    <cellStyle name="Normal 9 2 2 4 2 3 2" xfId="13746" xr:uid="{14CD49A3-554A-45B3-AABE-E928C8F0229F}"/>
    <cellStyle name="Normal 9 2 2 4 2 4" xfId="9528" xr:uid="{667FDE58-D652-49D9-A143-5D2D4BAF0301}"/>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64FDFA9B-90F0-432B-840B-9BDDDBBBC8D5}"/>
    <cellStyle name="Normal 9 2 2 4 3 2 3" xfId="12086" xr:uid="{8C7B3D3D-F2E9-433B-9B54-454DE654C3C3}"/>
    <cellStyle name="Normal 9 2 2 4 3 3" xfId="5709" xr:uid="{00000000-0005-0000-0000-0000EE1E0000}"/>
    <cellStyle name="Normal 9 2 2 4 3 3 2" xfId="14159" xr:uid="{56585F97-399E-45E1-9973-548EE7CC8E8B}"/>
    <cellStyle name="Normal 9 2 2 4 3 4" xfId="9941" xr:uid="{580FACCE-FCAF-44E2-B435-5448E9FBFD2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AF32709D-0870-43D1-B013-A69D4AA2D27E}"/>
    <cellStyle name="Normal 9 2 2 4 4 2 3" xfId="12499" xr:uid="{4D3083E5-F941-4BFE-9D79-F3084985FF8B}"/>
    <cellStyle name="Normal 9 2 2 4 4 3" xfId="6122" xr:uid="{00000000-0005-0000-0000-0000F21E0000}"/>
    <cellStyle name="Normal 9 2 2 4 4 3 2" xfId="14572" xr:uid="{5E0898BD-8810-4046-8247-551FCE4D5B03}"/>
    <cellStyle name="Normal 9 2 2 4 4 4" xfId="10354" xr:uid="{C81542A9-8C30-479A-A5E5-D9FEA11DC57E}"/>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CEDC032F-A615-4DC8-A2B1-56D55FE549A8}"/>
    <cellStyle name="Normal 9 2 2 4 5 2 3" xfId="12912" xr:uid="{92C8BCF1-4F0A-4C0F-BCEB-F773BE71E8C9}"/>
    <cellStyle name="Normal 9 2 2 4 5 3" xfId="6535" xr:uid="{00000000-0005-0000-0000-0000F61E0000}"/>
    <cellStyle name="Normal 9 2 2 4 5 3 2" xfId="14985" xr:uid="{6890FD20-1E1C-4BF6-AA2B-786F6FCE6E54}"/>
    <cellStyle name="Normal 9 2 2 4 5 4" xfId="10767" xr:uid="{FD2A54D4-5E43-48CC-8BD9-37FDC297A3F9}"/>
    <cellStyle name="Normal 9 2 2 4 6" xfId="2665" xr:uid="{00000000-0005-0000-0000-0000F71E0000}"/>
    <cellStyle name="Normal 9 2 2 4 6 2" xfId="6948" xr:uid="{00000000-0005-0000-0000-0000F81E0000}"/>
    <cellStyle name="Normal 9 2 2 4 6 2 2" xfId="15398" xr:uid="{1D67A44F-EE65-4B19-9917-85306B459E84}"/>
    <cellStyle name="Normal 9 2 2 4 6 3" xfId="11180" xr:uid="{BA5B1F50-5369-45BB-B814-7DB206621EC8}"/>
    <cellStyle name="Normal 9 2 2 4 7" xfId="4883" xr:uid="{00000000-0005-0000-0000-0000F91E0000}"/>
    <cellStyle name="Normal 9 2 2 4 7 2" xfId="13333" xr:uid="{989C8703-CECD-476A-B331-05CEAE5D957E}"/>
    <cellStyle name="Normal 9 2 2 4 8" xfId="9115" xr:uid="{5EBCDBA2-9986-4F8D-B0BD-61BAF5350C51}"/>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7CA3E469-0CE7-4A64-A8F9-BF4E935C7CC3}"/>
    <cellStyle name="Normal 9 2 2 5 2 3" xfId="11666" xr:uid="{DCAB5D99-1205-485F-9964-7DF97667D401}"/>
    <cellStyle name="Normal 9 2 2 5 3" xfId="5289" xr:uid="{00000000-0005-0000-0000-0000FD1E0000}"/>
    <cellStyle name="Normal 9 2 2 5 3 2" xfId="13739" xr:uid="{6813DF5C-E218-4D26-B247-D1803DF68239}"/>
    <cellStyle name="Normal 9 2 2 5 4" xfId="9521" xr:uid="{A5124FFE-8C83-487A-95D3-EEF5613E17FA}"/>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832C13EA-8D6A-4637-9237-0E8E3307CF9F}"/>
    <cellStyle name="Normal 9 2 2 6 2 3" xfId="12079" xr:uid="{EA4040BD-D5C2-4361-8B26-AAD63523DB32}"/>
    <cellStyle name="Normal 9 2 2 6 3" xfId="5702" xr:uid="{00000000-0005-0000-0000-0000011F0000}"/>
    <cellStyle name="Normal 9 2 2 6 3 2" xfId="14152" xr:uid="{C2C9D878-EB30-48B0-ADA8-59604CBFA926}"/>
    <cellStyle name="Normal 9 2 2 6 4" xfId="9934" xr:uid="{6CE939ED-2297-4D92-AEC3-B22935FCADC2}"/>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AB6798DF-DE7F-4B09-BA44-8B2592D1CF66}"/>
    <cellStyle name="Normal 9 2 2 7 2 3" xfId="12492" xr:uid="{DED515A2-5319-43F1-87B5-87E997043319}"/>
    <cellStyle name="Normal 9 2 2 7 3" xfId="6115" xr:uid="{00000000-0005-0000-0000-0000051F0000}"/>
    <cellStyle name="Normal 9 2 2 7 3 2" xfId="14565" xr:uid="{477ED204-9548-4833-93D5-38FC6B55A88C}"/>
    <cellStyle name="Normal 9 2 2 7 4" xfId="10347" xr:uid="{BF5FBD98-7FF7-43CC-AA49-B619A9814130}"/>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85FF6851-DE51-4DC5-A5ED-7B1D42E31914}"/>
    <cellStyle name="Normal 9 2 2 8 2 3" xfId="12905" xr:uid="{6C7F2E36-502F-41BA-AD0D-9BC4F2FF88B1}"/>
    <cellStyle name="Normal 9 2 2 8 3" xfId="6528" xr:uid="{00000000-0005-0000-0000-0000091F0000}"/>
    <cellStyle name="Normal 9 2 2 8 3 2" xfId="14978" xr:uid="{4BB05C5A-4492-4FC4-82F3-F2A07D15ED3D}"/>
    <cellStyle name="Normal 9 2 2 8 4" xfId="10760" xr:uid="{3A154FAA-9E4F-4842-B270-182C45E3E598}"/>
    <cellStyle name="Normal 9 2 2 9" xfId="2658" xr:uid="{00000000-0005-0000-0000-00000A1F0000}"/>
    <cellStyle name="Normal 9 2 2 9 2" xfId="6941" xr:uid="{00000000-0005-0000-0000-00000B1F0000}"/>
    <cellStyle name="Normal 9 2 2 9 2 2" xfId="15391" xr:uid="{4778CBAB-6159-44C0-9BB7-50379FBDCD9A}"/>
    <cellStyle name="Normal 9 2 2 9 3" xfId="11173" xr:uid="{D55EDD02-0BD0-49BB-8D21-E6E4797D7FAC}"/>
    <cellStyle name="Normal 9 2 3" xfId="520" xr:uid="{00000000-0005-0000-0000-00000C1F0000}"/>
    <cellStyle name="Normal 9 2 3 10" xfId="9116" xr:uid="{A9CFBF47-AE66-48CE-B50B-ED1F7AC28A8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39A6D2DB-42CA-41C1-9561-03E11A6E4466}"/>
    <cellStyle name="Normal 9 2 3 2 2 2 2 3" xfId="11676" xr:uid="{5BA49385-0302-4988-8B4C-B13DD7216866}"/>
    <cellStyle name="Normal 9 2 3 2 2 2 3" xfId="5299" xr:uid="{00000000-0005-0000-0000-0000121F0000}"/>
    <cellStyle name="Normal 9 2 3 2 2 2 3 2" xfId="13749" xr:uid="{588871E0-0552-4F0A-B1E4-011A7EFFFED0}"/>
    <cellStyle name="Normal 9 2 3 2 2 2 4" xfId="9531" xr:uid="{CA7F0D1D-E5ED-4EB3-9E12-F0023D923779}"/>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13CB2A76-59E1-44B0-8847-2C1F7D4EFBD4}"/>
    <cellStyle name="Normal 9 2 3 2 2 3 2 3" xfId="12089" xr:uid="{C76B4F19-22F3-44B4-A6B8-B7D3552D6ED8}"/>
    <cellStyle name="Normal 9 2 3 2 2 3 3" xfId="5712" xr:uid="{00000000-0005-0000-0000-0000161F0000}"/>
    <cellStyle name="Normal 9 2 3 2 2 3 3 2" xfId="14162" xr:uid="{029AA07F-E302-4780-AFE4-0A72F1FCE55A}"/>
    <cellStyle name="Normal 9 2 3 2 2 3 4" xfId="9944" xr:uid="{23AA0DB6-A1AB-4E8C-A9A9-E80124BCB38E}"/>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BA9E59C0-76D8-4F0A-8003-4A8E2747BAA6}"/>
    <cellStyle name="Normal 9 2 3 2 2 4 2 3" xfId="12502" xr:uid="{C503D39A-141D-4452-A5DA-C62CC3724EEA}"/>
    <cellStyle name="Normal 9 2 3 2 2 4 3" xfId="6125" xr:uid="{00000000-0005-0000-0000-00001A1F0000}"/>
    <cellStyle name="Normal 9 2 3 2 2 4 3 2" xfId="14575" xr:uid="{1EEF74DC-AF3C-4D68-8411-E627D179BFF0}"/>
    <cellStyle name="Normal 9 2 3 2 2 4 4" xfId="10357" xr:uid="{B2F51058-F1A2-4A71-BCF1-6EE456DC2B81}"/>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1892521A-36AD-40C3-9F77-6B86FBF6B46B}"/>
    <cellStyle name="Normal 9 2 3 2 2 5 2 3" xfId="12915" xr:uid="{37BE5D32-B157-4D37-B734-C904F3B513C0}"/>
    <cellStyle name="Normal 9 2 3 2 2 5 3" xfId="6538" xr:uid="{00000000-0005-0000-0000-00001E1F0000}"/>
    <cellStyle name="Normal 9 2 3 2 2 5 3 2" xfId="14988" xr:uid="{359E5B4D-EFF7-48AF-B3DB-B5ABD52B3FD3}"/>
    <cellStyle name="Normal 9 2 3 2 2 5 4" xfId="10770" xr:uid="{96704A8D-4002-4192-BCAB-85DBF09CACBD}"/>
    <cellStyle name="Normal 9 2 3 2 2 6" xfId="2668" xr:uid="{00000000-0005-0000-0000-00001F1F0000}"/>
    <cellStyle name="Normal 9 2 3 2 2 6 2" xfId="6951" xr:uid="{00000000-0005-0000-0000-0000201F0000}"/>
    <cellStyle name="Normal 9 2 3 2 2 6 2 2" xfId="15401" xr:uid="{B26B0600-F866-4F3A-A90D-2117787F66A5}"/>
    <cellStyle name="Normal 9 2 3 2 2 6 3" xfId="11183" xr:uid="{7E84754A-CC92-48DC-BF42-2FEB11FF3E60}"/>
    <cellStyle name="Normal 9 2 3 2 2 7" xfId="4886" xr:uid="{00000000-0005-0000-0000-0000211F0000}"/>
    <cellStyle name="Normal 9 2 3 2 2 7 2" xfId="13336" xr:uid="{89A72387-E875-4AAE-AA37-1C1E0AE5C910}"/>
    <cellStyle name="Normal 9 2 3 2 2 8" xfId="9118" xr:uid="{6CDBC40F-1AD7-49CD-B5BD-1B73ED4E372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20B48421-34AD-41AF-8FE9-841371C1BE8B}"/>
    <cellStyle name="Normal 9 2 3 2 3 2 3" xfId="11675" xr:uid="{5C8B2ED7-DB3C-438C-B254-A8EB13AF553D}"/>
    <cellStyle name="Normal 9 2 3 2 3 3" xfId="5298" xr:uid="{00000000-0005-0000-0000-0000251F0000}"/>
    <cellStyle name="Normal 9 2 3 2 3 3 2" xfId="13748" xr:uid="{626E1F02-FF76-4954-AC23-4BBCD1D64ECE}"/>
    <cellStyle name="Normal 9 2 3 2 3 4" xfId="9530" xr:uid="{6EDF6928-1F34-47D8-B551-334500D0B21E}"/>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E78B1226-3F53-49BE-89A0-09D8EFA261EF}"/>
    <cellStyle name="Normal 9 2 3 2 4 2 3" xfId="12088" xr:uid="{CFEEAA23-FA40-47A6-A444-25FB6D7A688F}"/>
    <cellStyle name="Normal 9 2 3 2 4 3" xfId="5711" xr:uid="{00000000-0005-0000-0000-0000291F0000}"/>
    <cellStyle name="Normal 9 2 3 2 4 3 2" xfId="14161" xr:uid="{1D807776-37FE-4CC2-8DB7-AA6749EC630E}"/>
    <cellStyle name="Normal 9 2 3 2 4 4" xfId="9943" xr:uid="{4E28EEF2-6431-4AE6-B62F-C1E0C8E4945A}"/>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77F8A56B-4A07-4A26-9CA3-6CE1526AD775}"/>
    <cellStyle name="Normal 9 2 3 2 5 2 3" xfId="12501" xr:uid="{0FC4EAE5-216E-4B9B-BDFC-667DA93C4CA7}"/>
    <cellStyle name="Normal 9 2 3 2 5 3" xfId="6124" xr:uid="{00000000-0005-0000-0000-00002D1F0000}"/>
    <cellStyle name="Normal 9 2 3 2 5 3 2" xfId="14574" xr:uid="{0A7602FA-B427-4CC6-A798-75CD14EDC055}"/>
    <cellStyle name="Normal 9 2 3 2 5 4" xfId="10356" xr:uid="{0BF6A4DA-6FA8-432E-9BB0-CDE1762B671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AFF8DF05-0619-4C1A-8D53-0259BE51A859}"/>
    <cellStyle name="Normal 9 2 3 2 6 2 3" xfId="12914" xr:uid="{432EEB1E-D82F-40B7-B9BD-6ADAF3DF081E}"/>
    <cellStyle name="Normal 9 2 3 2 6 3" xfId="6537" xr:uid="{00000000-0005-0000-0000-0000311F0000}"/>
    <cellStyle name="Normal 9 2 3 2 6 3 2" xfId="14987" xr:uid="{5CAE3A48-94D7-491C-91A6-9F37C94399CF}"/>
    <cellStyle name="Normal 9 2 3 2 6 4" xfId="10769" xr:uid="{28C3DF9D-2A8D-4BCA-ABE6-E24DCFF966E3}"/>
    <cellStyle name="Normal 9 2 3 2 7" xfId="2667" xr:uid="{00000000-0005-0000-0000-0000321F0000}"/>
    <cellStyle name="Normal 9 2 3 2 7 2" xfId="6950" xr:uid="{00000000-0005-0000-0000-0000331F0000}"/>
    <cellStyle name="Normal 9 2 3 2 7 2 2" xfId="15400" xr:uid="{3F8584F6-424D-42CC-8396-E474C437E561}"/>
    <cellStyle name="Normal 9 2 3 2 7 3" xfId="11182" xr:uid="{7658096D-0259-4773-A43B-FD787934726F}"/>
    <cellStyle name="Normal 9 2 3 2 8" xfId="4885" xr:uid="{00000000-0005-0000-0000-0000341F0000}"/>
    <cellStyle name="Normal 9 2 3 2 8 2" xfId="13335" xr:uid="{7D69BFAE-3CCD-497B-B9E2-D42FFE932293}"/>
    <cellStyle name="Normal 9 2 3 2 9" xfId="9117" xr:uid="{41B2CFE7-6D0B-4D63-A0ED-1D7601C8A7C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50387717-5676-4F4C-B097-59244C2014A4}"/>
    <cellStyle name="Normal 9 2 3 3 2 2 3" xfId="11677" xr:uid="{6574B688-229A-40CD-B9C5-B3D62D22221D}"/>
    <cellStyle name="Normal 9 2 3 3 2 3" xfId="5300" xr:uid="{00000000-0005-0000-0000-0000391F0000}"/>
    <cellStyle name="Normal 9 2 3 3 2 3 2" xfId="13750" xr:uid="{2B09E8BB-3ECC-4952-873E-F6DE7F2FE285}"/>
    <cellStyle name="Normal 9 2 3 3 2 4" xfId="9532" xr:uid="{9AB7247A-C496-41D9-BD01-2EF261C1E3ED}"/>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49007EAF-42C4-409B-8ECD-B9A00DE9DFFD}"/>
    <cellStyle name="Normal 9 2 3 3 3 2 3" xfId="12090" xr:uid="{A58FA6D4-0555-4457-875A-098DB4175527}"/>
    <cellStyle name="Normal 9 2 3 3 3 3" xfId="5713" xr:uid="{00000000-0005-0000-0000-00003D1F0000}"/>
    <cellStyle name="Normal 9 2 3 3 3 3 2" xfId="14163" xr:uid="{2D78CDD7-CE71-401A-AFCD-AAB5B16CAD4C}"/>
    <cellStyle name="Normal 9 2 3 3 3 4" xfId="9945" xr:uid="{F51B04B4-4DD4-4B6B-B3DF-C907505655D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E48847DB-E692-49C0-8708-D2D513A2CFF1}"/>
    <cellStyle name="Normal 9 2 3 3 4 2 3" xfId="12503" xr:uid="{D5B52A88-749F-4F6A-ABFD-12D895DD176E}"/>
    <cellStyle name="Normal 9 2 3 3 4 3" xfId="6126" xr:uid="{00000000-0005-0000-0000-0000411F0000}"/>
    <cellStyle name="Normal 9 2 3 3 4 3 2" xfId="14576" xr:uid="{04D39C4E-E9D2-4C91-A2EC-49F7BCE03AA3}"/>
    <cellStyle name="Normal 9 2 3 3 4 4" xfId="10358" xr:uid="{1E77C387-598D-4A49-883A-0FA34410FCF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5AA0EF79-51C8-48C4-A3CA-BAAB9CEE9D47}"/>
    <cellStyle name="Normal 9 2 3 3 5 2 3" xfId="12916" xr:uid="{7E384A21-73FC-4F42-B524-52B55685F2D8}"/>
    <cellStyle name="Normal 9 2 3 3 5 3" xfId="6539" xr:uid="{00000000-0005-0000-0000-0000451F0000}"/>
    <cellStyle name="Normal 9 2 3 3 5 3 2" xfId="14989" xr:uid="{0B0F60D8-A2DD-40F1-A8F8-5FB0BF4CABD1}"/>
    <cellStyle name="Normal 9 2 3 3 5 4" xfId="10771" xr:uid="{D6F383F6-F959-45D7-8B21-5A23F66B80EE}"/>
    <cellStyle name="Normal 9 2 3 3 6" xfId="2669" xr:uid="{00000000-0005-0000-0000-0000461F0000}"/>
    <cellStyle name="Normal 9 2 3 3 6 2" xfId="6952" xr:uid="{00000000-0005-0000-0000-0000471F0000}"/>
    <cellStyle name="Normal 9 2 3 3 6 2 2" xfId="15402" xr:uid="{CB70A48E-444F-499F-A75C-B7BF0AAC092C}"/>
    <cellStyle name="Normal 9 2 3 3 6 3" xfId="11184" xr:uid="{1ECD06AA-6465-4B12-BF10-152A6DFB1281}"/>
    <cellStyle name="Normal 9 2 3 3 7" xfId="4887" xr:uid="{00000000-0005-0000-0000-0000481F0000}"/>
    <cellStyle name="Normal 9 2 3 3 7 2" xfId="13337" xr:uid="{DDA5CCFF-63EB-4866-B69B-F4A1D4AA604E}"/>
    <cellStyle name="Normal 9 2 3 3 8" xfId="9119" xr:uid="{181F6944-85DC-440A-98C4-574BE3847176}"/>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187EFF66-1301-47D8-9393-42D2A2176C18}"/>
    <cellStyle name="Normal 9 2 3 4 2 3" xfId="11674" xr:uid="{1629C578-9841-418A-B8AC-303CA4BB7641}"/>
    <cellStyle name="Normal 9 2 3 4 3" xfId="5297" xr:uid="{00000000-0005-0000-0000-00004C1F0000}"/>
    <cellStyle name="Normal 9 2 3 4 3 2" xfId="13747" xr:uid="{6F5CB1B4-35FF-4DBF-998E-066E54AC23F0}"/>
    <cellStyle name="Normal 9 2 3 4 4" xfId="9529" xr:uid="{34E7507B-17A3-45E8-BF94-C8191EE4077D}"/>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D5784AE0-1569-4E3A-9ECE-3BCBC6E09A90}"/>
    <cellStyle name="Normal 9 2 3 5 2 3" xfId="12087" xr:uid="{B5CD2715-6906-4A2C-AAB0-DAAF4984D7A9}"/>
    <cellStyle name="Normal 9 2 3 5 3" xfId="5710" xr:uid="{00000000-0005-0000-0000-0000501F0000}"/>
    <cellStyle name="Normal 9 2 3 5 3 2" xfId="14160" xr:uid="{8097114F-D985-4A80-AA7A-6B693E5DDD62}"/>
    <cellStyle name="Normal 9 2 3 5 4" xfId="9942" xr:uid="{70B4E3D7-4138-4366-BEBA-D3AE90F77F44}"/>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A8B81E2A-EA3D-48AF-AF05-2CDA97A270C3}"/>
    <cellStyle name="Normal 9 2 3 6 2 3" xfId="12500" xr:uid="{F61D5031-9311-4D09-8CC8-708E56A8373C}"/>
    <cellStyle name="Normal 9 2 3 6 3" xfId="6123" xr:uid="{00000000-0005-0000-0000-0000541F0000}"/>
    <cellStyle name="Normal 9 2 3 6 3 2" xfId="14573" xr:uid="{2BCE90C2-C742-44D3-8D18-DEF73A0321FC}"/>
    <cellStyle name="Normal 9 2 3 6 4" xfId="10355" xr:uid="{F8F6FB5C-9A10-4DCC-8780-18BAA5D609A8}"/>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C9CDA7E8-E5DD-425B-9626-A41193BEB182}"/>
    <cellStyle name="Normal 9 2 3 7 2 3" xfId="12913" xr:uid="{26E14B3D-D79C-4E5C-AC55-ED387FF0485E}"/>
    <cellStyle name="Normal 9 2 3 7 3" xfId="6536" xr:uid="{00000000-0005-0000-0000-0000581F0000}"/>
    <cellStyle name="Normal 9 2 3 7 3 2" xfId="14986" xr:uid="{C437E173-CD13-45B7-88ED-A3CB4421E41C}"/>
    <cellStyle name="Normal 9 2 3 7 4" xfId="10768" xr:uid="{6EC15523-9D4B-4FAD-AAC4-B047B88CEEDA}"/>
    <cellStyle name="Normal 9 2 3 8" xfId="2666" xr:uid="{00000000-0005-0000-0000-0000591F0000}"/>
    <cellStyle name="Normal 9 2 3 8 2" xfId="6949" xr:uid="{00000000-0005-0000-0000-00005A1F0000}"/>
    <cellStyle name="Normal 9 2 3 8 2 2" xfId="15399" xr:uid="{2696482C-716B-46C2-BA0B-F7E69A67C7B8}"/>
    <cellStyle name="Normal 9 2 3 8 3" xfId="11181" xr:uid="{18B6507D-EBBC-4188-9A34-763A15ABEB66}"/>
    <cellStyle name="Normal 9 2 3 9" xfId="4884" xr:uid="{00000000-0005-0000-0000-00005B1F0000}"/>
    <cellStyle name="Normal 9 2 3 9 2" xfId="13334" xr:uid="{B5BFDC9F-CB74-40F3-A8E8-8FF072A6AC2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9644D5DE-3F79-49C5-8EF7-46E0D375E71D}"/>
    <cellStyle name="Normal 9 2 4 2 2 2 3" xfId="11679" xr:uid="{9BE4BAE3-2EAE-4F57-9426-84FF627BDA9C}"/>
    <cellStyle name="Normal 9 2 4 2 2 3" xfId="5302" xr:uid="{00000000-0005-0000-0000-0000611F0000}"/>
    <cellStyle name="Normal 9 2 4 2 2 3 2" xfId="13752" xr:uid="{6B6BFE05-4966-4576-B8C6-45F5D2C05F7B}"/>
    <cellStyle name="Normal 9 2 4 2 2 4" xfId="9534" xr:uid="{09B4A62C-A85B-48DF-B380-546790D38320}"/>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607F3552-B5D5-4D0D-8E81-85972BC96A78}"/>
    <cellStyle name="Normal 9 2 4 2 3 2 3" xfId="12092" xr:uid="{E1F48206-FBB9-4771-B85E-62FAADFE9667}"/>
    <cellStyle name="Normal 9 2 4 2 3 3" xfId="5715" xr:uid="{00000000-0005-0000-0000-0000651F0000}"/>
    <cellStyle name="Normal 9 2 4 2 3 3 2" xfId="14165" xr:uid="{D8CDBC74-E050-436F-8C99-01F1E80BF1A9}"/>
    <cellStyle name="Normal 9 2 4 2 3 4" xfId="9947" xr:uid="{839D7E0F-1E51-471F-B501-F0F639E1737D}"/>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A7AFBF8D-7C00-4CA9-B42C-E1E7CDD7B048}"/>
    <cellStyle name="Normal 9 2 4 2 4 2 3" xfId="12505" xr:uid="{857066A6-D34A-4DC9-BC01-A7DC31CA22F2}"/>
    <cellStyle name="Normal 9 2 4 2 4 3" xfId="6128" xr:uid="{00000000-0005-0000-0000-0000691F0000}"/>
    <cellStyle name="Normal 9 2 4 2 4 3 2" xfId="14578" xr:uid="{598E8020-0719-4739-97EA-C98A6B2C3FBC}"/>
    <cellStyle name="Normal 9 2 4 2 4 4" xfId="10360" xr:uid="{A8045471-617B-4D4E-B118-5CADA2B89F9B}"/>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279BAD34-3100-46BB-86F6-2523DB277771}"/>
    <cellStyle name="Normal 9 2 4 2 5 2 3" xfId="12918" xr:uid="{D6077F83-FD17-4B47-A5CD-3A7EF8EF755D}"/>
    <cellStyle name="Normal 9 2 4 2 5 3" xfId="6541" xr:uid="{00000000-0005-0000-0000-00006D1F0000}"/>
    <cellStyle name="Normal 9 2 4 2 5 3 2" xfId="14991" xr:uid="{E6CEEAA1-2306-4A16-AFAD-AC1014BEFFCE}"/>
    <cellStyle name="Normal 9 2 4 2 5 4" xfId="10773" xr:uid="{83F495C0-98B8-4BD1-81A4-E1C83D2BFA29}"/>
    <cellStyle name="Normal 9 2 4 2 6" xfId="2671" xr:uid="{00000000-0005-0000-0000-00006E1F0000}"/>
    <cellStyle name="Normal 9 2 4 2 6 2" xfId="6954" xr:uid="{00000000-0005-0000-0000-00006F1F0000}"/>
    <cellStyle name="Normal 9 2 4 2 6 2 2" xfId="15404" xr:uid="{C5723CB4-F14D-4DF3-8C26-E98D9DE6520A}"/>
    <cellStyle name="Normal 9 2 4 2 6 3" xfId="11186" xr:uid="{9AB23F91-0F8E-492B-B7E1-D85C758F75E6}"/>
    <cellStyle name="Normal 9 2 4 2 7" xfId="4889" xr:uid="{00000000-0005-0000-0000-0000701F0000}"/>
    <cellStyle name="Normal 9 2 4 2 7 2" xfId="13339" xr:uid="{10A1DFE7-B6F2-4800-BEB6-B93AF60FA79B}"/>
    <cellStyle name="Normal 9 2 4 2 8" xfId="9121" xr:uid="{C6E6D132-3A30-44EF-A829-FD4C9F5F7153}"/>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B7ED6A20-E1C3-46ED-A54C-264DB4DA7BF3}"/>
    <cellStyle name="Normal 9 2 4 3 2 3" xfId="11678" xr:uid="{1801A665-32DC-4CB1-B24D-B28B1321415F}"/>
    <cellStyle name="Normal 9 2 4 3 3" xfId="5301" xr:uid="{00000000-0005-0000-0000-0000741F0000}"/>
    <cellStyle name="Normal 9 2 4 3 3 2" xfId="13751" xr:uid="{74C92CC9-2F5F-487E-96F8-FD229FED3AAE}"/>
    <cellStyle name="Normal 9 2 4 3 4" xfId="9533" xr:uid="{5B465803-3FDF-4E7E-B883-5F87E25F3C73}"/>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CD564DBD-AA5C-4F04-BCB4-F84E7C4CFDC0}"/>
    <cellStyle name="Normal 9 2 4 4 2 3" xfId="12091" xr:uid="{61D92C69-B1B4-44EB-8C50-57FB0994E9A4}"/>
    <cellStyle name="Normal 9 2 4 4 3" xfId="5714" xr:uid="{00000000-0005-0000-0000-0000781F0000}"/>
    <cellStyle name="Normal 9 2 4 4 3 2" xfId="14164" xr:uid="{0FD37588-F173-4C6B-94AE-7CFDBA4DEA87}"/>
    <cellStyle name="Normal 9 2 4 4 4" xfId="9946" xr:uid="{DA5B3BC4-2AD2-4F25-A47F-3BCFB7305D75}"/>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4A082FA2-F56A-465B-9CCD-5D497135D107}"/>
    <cellStyle name="Normal 9 2 4 5 2 3" xfId="12504" xr:uid="{D2F97FE4-6509-49C2-B051-EBD45E663004}"/>
    <cellStyle name="Normal 9 2 4 5 3" xfId="6127" xr:uid="{00000000-0005-0000-0000-00007C1F0000}"/>
    <cellStyle name="Normal 9 2 4 5 3 2" xfId="14577" xr:uid="{8A819C54-1BB6-461A-910A-FFDC307605A0}"/>
    <cellStyle name="Normal 9 2 4 5 4" xfId="10359" xr:uid="{E9B123E6-4452-4018-A2B5-8A114378E498}"/>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3277A87C-B2F3-48B3-BF99-D0AA7AE3FE2F}"/>
    <cellStyle name="Normal 9 2 4 6 2 3" xfId="12917" xr:uid="{F7E39D06-AD17-4A6E-A869-881B721B75C7}"/>
    <cellStyle name="Normal 9 2 4 6 3" xfId="6540" xr:uid="{00000000-0005-0000-0000-0000801F0000}"/>
    <cellStyle name="Normal 9 2 4 6 3 2" xfId="14990" xr:uid="{2447D962-8461-4B61-87F6-BF0036A13292}"/>
    <cellStyle name="Normal 9 2 4 6 4" xfId="10772" xr:uid="{F1E65D46-B6F4-4457-851F-BAA71050DB1A}"/>
    <cellStyle name="Normal 9 2 4 7" xfId="2670" xr:uid="{00000000-0005-0000-0000-0000811F0000}"/>
    <cellStyle name="Normal 9 2 4 7 2" xfId="6953" xr:uid="{00000000-0005-0000-0000-0000821F0000}"/>
    <cellStyle name="Normal 9 2 4 7 2 2" xfId="15403" xr:uid="{09D1F1C0-AE27-4A5C-A07D-6F5832265213}"/>
    <cellStyle name="Normal 9 2 4 7 3" xfId="11185" xr:uid="{2E30147D-F158-437A-9E0A-8ABED2F28BB5}"/>
    <cellStyle name="Normal 9 2 4 8" xfId="4888" xr:uid="{00000000-0005-0000-0000-0000831F0000}"/>
    <cellStyle name="Normal 9 2 4 8 2" xfId="13338" xr:uid="{BDC32914-A3D1-433C-84BA-D3A8D9E33408}"/>
    <cellStyle name="Normal 9 2 4 9" xfId="9120" xr:uid="{FE227E4E-6553-444D-A026-501073526755}"/>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922BAA14-702F-498B-AF50-2B262551F91E}"/>
    <cellStyle name="Normal 9 2 5 2 2 3" xfId="11680" xr:uid="{546042A7-6EA0-4735-A38D-4980003229BB}"/>
    <cellStyle name="Normal 9 2 5 2 3" xfId="5303" xr:uid="{00000000-0005-0000-0000-0000881F0000}"/>
    <cellStyle name="Normal 9 2 5 2 3 2" xfId="13753" xr:uid="{DEE29F17-9876-4F57-B536-C3D5399B23B8}"/>
    <cellStyle name="Normal 9 2 5 2 4" xfId="9535" xr:uid="{611D1544-683B-4F1E-B7B2-9036566D9532}"/>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6932E5D2-ADA5-49EF-BB28-5023B59F6F1A}"/>
    <cellStyle name="Normal 9 2 5 3 2 3" xfId="12093" xr:uid="{9904ABA4-87CE-4005-A7CC-7D97E5DD4D19}"/>
    <cellStyle name="Normal 9 2 5 3 3" xfId="5716" xr:uid="{00000000-0005-0000-0000-00008C1F0000}"/>
    <cellStyle name="Normal 9 2 5 3 3 2" xfId="14166" xr:uid="{574305B9-F24F-45AD-842F-61A88B68FA0D}"/>
    <cellStyle name="Normal 9 2 5 3 4" xfId="9948" xr:uid="{ACFA148A-90AF-4193-AC7B-52DBD6E28C68}"/>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1D44B5E0-329D-4171-9037-D0C20F2E06B6}"/>
    <cellStyle name="Normal 9 2 5 4 2 3" xfId="12506" xr:uid="{90CC8B9D-7BBE-4EF3-8B70-B066C3980302}"/>
    <cellStyle name="Normal 9 2 5 4 3" xfId="6129" xr:uid="{00000000-0005-0000-0000-0000901F0000}"/>
    <cellStyle name="Normal 9 2 5 4 3 2" xfId="14579" xr:uid="{4610F421-ED3E-400C-823A-0564659BEDD8}"/>
    <cellStyle name="Normal 9 2 5 4 4" xfId="10361" xr:uid="{975E9E12-B79E-48FA-AE32-162B89290221}"/>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63BA7F5D-19A2-42FC-8145-891CC28EF1C5}"/>
    <cellStyle name="Normal 9 2 5 5 2 3" xfId="12919" xr:uid="{4719759E-2B3D-44CE-99CE-977243198E6C}"/>
    <cellStyle name="Normal 9 2 5 5 3" xfId="6542" xr:uid="{00000000-0005-0000-0000-0000941F0000}"/>
    <cellStyle name="Normal 9 2 5 5 3 2" xfId="14992" xr:uid="{56174BFD-FDF3-4B83-9512-AB161512ECA8}"/>
    <cellStyle name="Normal 9 2 5 5 4" xfId="10774" xr:uid="{0E8CB84F-ECA4-4F2E-8C34-AB86DEF854D0}"/>
    <cellStyle name="Normal 9 2 5 6" xfId="2672" xr:uid="{00000000-0005-0000-0000-0000951F0000}"/>
    <cellStyle name="Normal 9 2 5 6 2" xfId="6955" xr:uid="{00000000-0005-0000-0000-0000961F0000}"/>
    <cellStyle name="Normal 9 2 5 6 2 2" xfId="15405" xr:uid="{EC7DB6F1-ADDA-40B9-B582-89C550349F2E}"/>
    <cellStyle name="Normal 9 2 5 6 3" xfId="11187" xr:uid="{FA52471A-255F-46F6-9E0A-0BEE445A4A12}"/>
    <cellStyle name="Normal 9 2 5 7" xfId="4890" xr:uid="{00000000-0005-0000-0000-0000971F0000}"/>
    <cellStyle name="Normal 9 2 5 7 2" xfId="13340" xr:uid="{C17FFD13-2D24-4855-B021-F123D86E3EC0}"/>
    <cellStyle name="Normal 9 2 5 8" xfId="9122" xr:uid="{82314A12-4A00-492E-9FF8-04A1F93281CF}"/>
    <cellStyle name="Normal 9 2 6" xfId="978" xr:uid="{00000000-0005-0000-0000-0000981F0000}"/>
    <cellStyle name="Normal 9 2 6 2" xfId="3211" xr:uid="{00000000-0005-0000-0000-0000991F0000}"/>
    <cellStyle name="Normal 9 2 6 2 2" xfId="7433" xr:uid="{00000000-0005-0000-0000-00009A1F0000}"/>
    <cellStyle name="Normal 9 2 6 2 2 2" xfId="15883" xr:uid="{0E895B5A-0F2F-4AF9-9BAE-7AC561259F2F}"/>
    <cellStyle name="Normal 9 2 6 2 3" xfId="11665" xr:uid="{47A6EE4E-5FD6-4E0D-9EB9-787566128BBF}"/>
    <cellStyle name="Normal 9 2 6 3" xfId="5288" xr:uid="{00000000-0005-0000-0000-00009B1F0000}"/>
    <cellStyle name="Normal 9 2 6 3 2" xfId="13738" xr:uid="{CF5C85D8-3945-47C3-A280-C9B6F0F66109}"/>
    <cellStyle name="Normal 9 2 6 4" xfId="9520" xr:uid="{F4433A15-6ADD-4AB4-A2C1-45A93F57DB60}"/>
    <cellStyle name="Normal 9 2 7" xfId="1394" xr:uid="{00000000-0005-0000-0000-00009C1F0000}"/>
    <cellStyle name="Normal 9 2 7 2" xfId="3624" xr:uid="{00000000-0005-0000-0000-00009D1F0000}"/>
    <cellStyle name="Normal 9 2 7 2 2" xfId="7846" xr:uid="{00000000-0005-0000-0000-00009E1F0000}"/>
    <cellStyle name="Normal 9 2 7 2 2 2" xfId="16296" xr:uid="{BDC539A0-57F4-4D0D-94DB-8CDD7B4E202F}"/>
    <cellStyle name="Normal 9 2 7 2 3" xfId="12078" xr:uid="{A814D000-9102-459C-8A9C-EA8FE5D35F8B}"/>
    <cellStyle name="Normal 9 2 7 3" xfId="5701" xr:uid="{00000000-0005-0000-0000-00009F1F0000}"/>
    <cellStyle name="Normal 9 2 7 3 2" xfId="14151" xr:uid="{FC647DFB-CE7F-4DF8-8C68-D91C4F31C9E7}"/>
    <cellStyle name="Normal 9 2 7 4" xfId="9933" xr:uid="{380BAB44-D73C-4BF0-B8D9-D0252BCABD7C}"/>
    <cellStyle name="Normal 9 2 8" xfId="1807" xr:uid="{00000000-0005-0000-0000-0000A01F0000}"/>
    <cellStyle name="Normal 9 2 8 2" xfId="4037" xr:uid="{00000000-0005-0000-0000-0000A11F0000}"/>
    <cellStyle name="Normal 9 2 8 2 2" xfId="8259" xr:uid="{00000000-0005-0000-0000-0000A21F0000}"/>
    <cellStyle name="Normal 9 2 8 2 2 2" xfId="16709" xr:uid="{4A7B483C-D834-49FB-AFD0-A96EC59EBF2E}"/>
    <cellStyle name="Normal 9 2 8 2 3" xfId="12491" xr:uid="{0CEA1B02-69C0-4032-B7A0-AC6CCBD6137F}"/>
    <cellStyle name="Normal 9 2 8 3" xfId="6114" xr:uid="{00000000-0005-0000-0000-0000A31F0000}"/>
    <cellStyle name="Normal 9 2 8 3 2" xfId="14564" xr:uid="{3287B964-E955-40AD-8531-41871DAC7401}"/>
    <cellStyle name="Normal 9 2 8 4" xfId="10346" xr:uid="{7DFC8157-FE2F-4211-AAA5-94EAFC6DD322}"/>
    <cellStyle name="Normal 9 2 9" xfId="2221" xr:uid="{00000000-0005-0000-0000-0000A41F0000}"/>
    <cellStyle name="Normal 9 2 9 2" xfId="4450" xr:uid="{00000000-0005-0000-0000-0000A51F0000}"/>
    <cellStyle name="Normal 9 2 9 2 2" xfId="8672" xr:uid="{00000000-0005-0000-0000-0000A61F0000}"/>
    <cellStyle name="Normal 9 2 9 2 2 2" xfId="17122" xr:uid="{2D00A642-E695-431E-853E-7F7DBB951A16}"/>
    <cellStyle name="Normal 9 2 9 2 3" xfId="12904" xr:uid="{74B6243D-FDBE-44C7-AE99-C3EB9E1BDB7C}"/>
    <cellStyle name="Normal 9 2 9 3" xfId="6527" xr:uid="{00000000-0005-0000-0000-0000A71F0000}"/>
    <cellStyle name="Normal 9 2 9 3 2" xfId="14977" xr:uid="{A768AD1E-47B7-4527-8F1A-7AA1AB7F1125}"/>
    <cellStyle name="Normal 9 2 9 4" xfId="10759" xr:uid="{8FFB4BC1-D21D-49A2-8568-3436F3B72C33}"/>
    <cellStyle name="Normal 9 3" xfId="527" xr:uid="{00000000-0005-0000-0000-0000A81F0000}"/>
    <cellStyle name="Normal 9 3 10" xfId="4891" xr:uid="{00000000-0005-0000-0000-0000A91F0000}"/>
    <cellStyle name="Normal 9 3 10 2" xfId="13341" xr:uid="{34885CCF-F572-4A6A-AF1F-8F83F8448613}"/>
    <cellStyle name="Normal 9 3 11" xfId="9123" xr:uid="{1A705CC6-1024-49A8-821F-FD6535D28872}"/>
    <cellStyle name="Normal 9 3 2" xfId="528" xr:uid="{00000000-0005-0000-0000-0000AA1F0000}"/>
    <cellStyle name="Normal 9 3 2 10" xfId="9124" xr:uid="{7A0982C3-7372-486B-8068-C6B82B1D38F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9A7D0123-C17A-4FE7-A4F3-8C6B35468AA3}"/>
    <cellStyle name="Normal 9 3 2 2 2 2 2 3" xfId="11684" xr:uid="{84F1F5B9-C94E-42B6-A3DE-FE550398708B}"/>
    <cellStyle name="Normal 9 3 2 2 2 2 3" xfId="5307" xr:uid="{00000000-0005-0000-0000-0000B01F0000}"/>
    <cellStyle name="Normal 9 3 2 2 2 2 3 2" xfId="13757" xr:uid="{FEA97BCB-5244-4E37-B1B3-70D2A1B540B8}"/>
    <cellStyle name="Normal 9 3 2 2 2 2 4" xfId="9539" xr:uid="{85DD494A-BC0A-4D4F-9062-071025A68B3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F7AEC903-A1D1-45A6-91D4-EC3CD596EF00}"/>
    <cellStyle name="Normal 9 3 2 2 2 3 2 3" xfId="12097" xr:uid="{7E6C529D-9D93-433D-A346-B508984B61B7}"/>
    <cellStyle name="Normal 9 3 2 2 2 3 3" xfId="5720" xr:uid="{00000000-0005-0000-0000-0000B41F0000}"/>
    <cellStyle name="Normal 9 3 2 2 2 3 3 2" xfId="14170" xr:uid="{AC5F23B7-06B6-4C2A-91DD-C5A01E825F5F}"/>
    <cellStyle name="Normal 9 3 2 2 2 3 4" xfId="9952" xr:uid="{BED80232-AB83-4F7D-A1EC-18DB49E155CF}"/>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158B64CE-D483-42D9-BB20-602A9015FA35}"/>
    <cellStyle name="Normal 9 3 2 2 2 4 2 3" xfId="12510" xr:uid="{AF9BE900-2221-436F-9A3E-061835362F98}"/>
    <cellStyle name="Normal 9 3 2 2 2 4 3" xfId="6133" xr:uid="{00000000-0005-0000-0000-0000B81F0000}"/>
    <cellStyle name="Normal 9 3 2 2 2 4 3 2" xfId="14583" xr:uid="{4E801600-70CF-4334-8269-7855C465ACB7}"/>
    <cellStyle name="Normal 9 3 2 2 2 4 4" xfId="10365" xr:uid="{2C3000AA-1AB6-4532-9052-90B6F48B1AE1}"/>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0A7DB3CF-D102-44D8-A1F7-E97868503C09}"/>
    <cellStyle name="Normal 9 3 2 2 2 5 2 3" xfId="12923" xr:uid="{D73B0248-18EF-44C3-92EC-CC80DAFC6929}"/>
    <cellStyle name="Normal 9 3 2 2 2 5 3" xfId="6546" xr:uid="{00000000-0005-0000-0000-0000BC1F0000}"/>
    <cellStyle name="Normal 9 3 2 2 2 5 3 2" xfId="14996" xr:uid="{09438B7A-F893-4BCA-B0A2-EBF872EE37DB}"/>
    <cellStyle name="Normal 9 3 2 2 2 5 4" xfId="10778" xr:uid="{1765977E-2BD6-4D8E-8174-0ACD0AEBA555}"/>
    <cellStyle name="Normal 9 3 2 2 2 6" xfId="2676" xr:uid="{00000000-0005-0000-0000-0000BD1F0000}"/>
    <cellStyle name="Normal 9 3 2 2 2 6 2" xfId="6959" xr:uid="{00000000-0005-0000-0000-0000BE1F0000}"/>
    <cellStyle name="Normal 9 3 2 2 2 6 2 2" xfId="15409" xr:uid="{C056FA72-0A90-42E1-BBDB-3CC310DFBF04}"/>
    <cellStyle name="Normal 9 3 2 2 2 6 3" xfId="11191" xr:uid="{9AB29E8D-77D9-4F3A-A7CD-58ACC6DD8362}"/>
    <cellStyle name="Normal 9 3 2 2 2 7" xfId="4894" xr:uid="{00000000-0005-0000-0000-0000BF1F0000}"/>
    <cellStyle name="Normal 9 3 2 2 2 7 2" xfId="13344" xr:uid="{3C59764D-AAF0-4D97-BE39-3B288E27C631}"/>
    <cellStyle name="Normal 9 3 2 2 2 8" xfId="9126" xr:uid="{9B284643-66FE-43B8-84F1-C147EE1F50B5}"/>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633BC595-18E9-48FB-9BA2-FFDDDA777793}"/>
    <cellStyle name="Normal 9 3 2 2 3 2 3" xfId="11683" xr:uid="{A0BA2BE1-875C-4348-A59F-16F208E4B5F2}"/>
    <cellStyle name="Normal 9 3 2 2 3 3" xfId="5306" xr:uid="{00000000-0005-0000-0000-0000C31F0000}"/>
    <cellStyle name="Normal 9 3 2 2 3 3 2" xfId="13756" xr:uid="{3BBE2265-93C0-47FF-8EE3-CE9E3C2A3000}"/>
    <cellStyle name="Normal 9 3 2 2 3 4" xfId="9538" xr:uid="{2209267D-9869-4EE8-9392-C3CDEF17C76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24E9E58B-611A-40C6-835F-BFD132FFA777}"/>
    <cellStyle name="Normal 9 3 2 2 4 2 3" xfId="12096" xr:uid="{CCC0054E-2280-4EBA-B411-C213B3F8E2A0}"/>
    <cellStyle name="Normal 9 3 2 2 4 3" xfId="5719" xr:uid="{00000000-0005-0000-0000-0000C71F0000}"/>
    <cellStyle name="Normal 9 3 2 2 4 3 2" xfId="14169" xr:uid="{027ACB6C-BC9A-432D-B094-DD67E1C3FA8B}"/>
    <cellStyle name="Normal 9 3 2 2 4 4" xfId="9951" xr:uid="{2AB5232A-271F-42EB-803F-029C34FB95E6}"/>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EAA6DE6C-1706-4866-B16A-ED8F425510F2}"/>
    <cellStyle name="Normal 9 3 2 2 5 2 3" xfId="12509" xr:uid="{8A598822-E371-467B-925B-94C114DE0DB1}"/>
    <cellStyle name="Normal 9 3 2 2 5 3" xfId="6132" xr:uid="{00000000-0005-0000-0000-0000CB1F0000}"/>
    <cellStyle name="Normal 9 3 2 2 5 3 2" xfId="14582" xr:uid="{129079D7-53EB-43AD-897E-1ACEE9EC287C}"/>
    <cellStyle name="Normal 9 3 2 2 5 4" xfId="10364" xr:uid="{1B4E4DBC-A690-4423-956A-96BF8CA6189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D9499C68-5C9F-41AA-9ABA-9DFD65EA0530}"/>
    <cellStyle name="Normal 9 3 2 2 6 2 3" xfId="12922" xr:uid="{44789A09-580B-4C5B-82A4-EE79521EC3BF}"/>
    <cellStyle name="Normal 9 3 2 2 6 3" xfId="6545" xr:uid="{00000000-0005-0000-0000-0000CF1F0000}"/>
    <cellStyle name="Normal 9 3 2 2 6 3 2" xfId="14995" xr:uid="{0EDA9BEB-3C8E-4877-97D5-2B6E1A7831ED}"/>
    <cellStyle name="Normal 9 3 2 2 6 4" xfId="10777" xr:uid="{4ED8F669-A601-4BD8-842B-BAC00E96B692}"/>
    <cellStyle name="Normal 9 3 2 2 7" xfId="2675" xr:uid="{00000000-0005-0000-0000-0000D01F0000}"/>
    <cellStyle name="Normal 9 3 2 2 7 2" xfId="6958" xr:uid="{00000000-0005-0000-0000-0000D11F0000}"/>
    <cellStyle name="Normal 9 3 2 2 7 2 2" xfId="15408" xr:uid="{171AD358-5EFE-4D39-8ECC-EBF690BF54D0}"/>
    <cellStyle name="Normal 9 3 2 2 7 3" xfId="11190" xr:uid="{248A9CA4-4B25-418E-970D-E4FC389C9CF9}"/>
    <cellStyle name="Normal 9 3 2 2 8" xfId="4893" xr:uid="{00000000-0005-0000-0000-0000D21F0000}"/>
    <cellStyle name="Normal 9 3 2 2 8 2" xfId="13343" xr:uid="{7388A462-D339-48E5-8E52-147DE5CEDC1C}"/>
    <cellStyle name="Normal 9 3 2 2 9" xfId="9125" xr:uid="{17A7AD2D-9529-48BE-9BFE-CB1C2313343A}"/>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FEE67BF1-FB94-4CC3-8D3F-6289AC6ED320}"/>
    <cellStyle name="Normal 9 3 2 3 2 2 3" xfId="11685" xr:uid="{1507981C-B95A-4F12-9AB7-9ABE76510DE9}"/>
    <cellStyle name="Normal 9 3 2 3 2 3" xfId="5308" xr:uid="{00000000-0005-0000-0000-0000D71F0000}"/>
    <cellStyle name="Normal 9 3 2 3 2 3 2" xfId="13758" xr:uid="{54CDE627-1746-4A60-88EE-D345E7A7C589}"/>
    <cellStyle name="Normal 9 3 2 3 2 4" xfId="9540" xr:uid="{48B4118C-8A70-4686-A5D2-08F100EC4A6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8C376877-3162-4EE0-B2CF-39C1F81CFB63}"/>
    <cellStyle name="Normal 9 3 2 3 3 2 3" xfId="12098" xr:uid="{AABE7363-882F-4234-9306-049844E89AD7}"/>
    <cellStyle name="Normal 9 3 2 3 3 3" xfId="5721" xr:uid="{00000000-0005-0000-0000-0000DB1F0000}"/>
    <cellStyle name="Normal 9 3 2 3 3 3 2" xfId="14171" xr:uid="{491CF189-E2D2-476C-A297-C1FD8E78AF94}"/>
    <cellStyle name="Normal 9 3 2 3 3 4" xfId="9953" xr:uid="{1E87B397-64BD-49CD-95D8-43B28C1C47EF}"/>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76E52B6F-1184-46AD-BEAA-69997923F1EB}"/>
    <cellStyle name="Normal 9 3 2 3 4 2 3" xfId="12511" xr:uid="{5C9575F1-F3A6-4841-8141-691FB34C3F80}"/>
    <cellStyle name="Normal 9 3 2 3 4 3" xfId="6134" xr:uid="{00000000-0005-0000-0000-0000DF1F0000}"/>
    <cellStyle name="Normal 9 3 2 3 4 3 2" xfId="14584" xr:uid="{846F1956-7F01-4D22-980D-CB0B29073A10}"/>
    <cellStyle name="Normal 9 3 2 3 4 4" xfId="10366" xr:uid="{062B106F-97A4-43C5-884D-773AB367C265}"/>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589B6F33-5573-4FD3-8C91-AE61596CA828}"/>
    <cellStyle name="Normal 9 3 2 3 5 2 3" xfId="12924" xr:uid="{AA43FF90-CB07-491E-882C-F0946AF6A417}"/>
    <cellStyle name="Normal 9 3 2 3 5 3" xfId="6547" xr:uid="{00000000-0005-0000-0000-0000E31F0000}"/>
    <cellStyle name="Normal 9 3 2 3 5 3 2" xfId="14997" xr:uid="{9850B841-73B8-4E12-B139-3B6C1F8B7234}"/>
    <cellStyle name="Normal 9 3 2 3 5 4" xfId="10779" xr:uid="{C822E7B7-9951-4601-9553-5B574119D249}"/>
    <cellStyle name="Normal 9 3 2 3 6" xfId="2677" xr:uid="{00000000-0005-0000-0000-0000E41F0000}"/>
    <cellStyle name="Normal 9 3 2 3 6 2" xfId="6960" xr:uid="{00000000-0005-0000-0000-0000E51F0000}"/>
    <cellStyle name="Normal 9 3 2 3 6 2 2" xfId="15410" xr:uid="{39B21C1C-5E52-45BB-B0EE-AA4E7BD0DB5A}"/>
    <cellStyle name="Normal 9 3 2 3 6 3" xfId="11192" xr:uid="{E6B0091B-DA16-487D-8A36-7729E47AFD88}"/>
    <cellStyle name="Normal 9 3 2 3 7" xfId="4895" xr:uid="{00000000-0005-0000-0000-0000E61F0000}"/>
    <cellStyle name="Normal 9 3 2 3 7 2" xfId="13345" xr:uid="{E96C2514-290C-4955-AE58-90EF58785CFE}"/>
    <cellStyle name="Normal 9 3 2 3 8" xfId="9127" xr:uid="{9828F780-9D8E-460A-ADEA-EA9E40E06D48}"/>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3D0F98F8-A37B-4E6A-B80D-0BFB3DAF8D80}"/>
    <cellStyle name="Normal 9 3 2 4 2 3" xfId="11682" xr:uid="{B05A8DF7-2BFF-48C9-9919-18785F455783}"/>
    <cellStyle name="Normal 9 3 2 4 3" xfId="5305" xr:uid="{00000000-0005-0000-0000-0000EA1F0000}"/>
    <cellStyle name="Normal 9 3 2 4 3 2" xfId="13755" xr:uid="{353D33B8-1577-44E4-B6A0-0DE2EC17CEF9}"/>
    <cellStyle name="Normal 9 3 2 4 4" xfId="9537" xr:uid="{872C6787-5F9A-4F6F-A9D5-C136B90FADA8}"/>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7C0AEC71-84B4-4301-95C4-7759CCF599F8}"/>
    <cellStyle name="Normal 9 3 2 5 2 3" xfId="12095" xr:uid="{3C60BCDB-F7A8-4671-B213-81120483E2CA}"/>
    <cellStyle name="Normal 9 3 2 5 3" xfId="5718" xr:uid="{00000000-0005-0000-0000-0000EE1F0000}"/>
    <cellStyle name="Normal 9 3 2 5 3 2" xfId="14168" xr:uid="{C10CF556-9AA5-4258-8B55-67A583C8B46A}"/>
    <cellStyle name="Normal 9 3 2 5 4" xfId="9950" xr:uid="{E98C52F2-196A-4324-8BBE-7072F54309B9}"/>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83CB6C96-E92F-49EA-8342-3A395638218E}"/>
    <cellStyle name="Normal 9 3 2 6 2 3" xfId="12508" xr:uid="{9100E5D5-9CD7-4FB5-B039-292B7F6A61DC}"/>
    <cellStyle name="Normal 9 3 2 6 3" xfId="6131" xr:uid="{00000000-0005-0000-0000-0000F21F0000}"/>
    <cellStyle name="Normal 9 3 2 6 3 2" xfId="14581" xr:uid="{442665DD-9C11-428D-89F9-AA89696B4EA0}"/>
    <cellStyle name="Normal 9 3 2 6 4" xfId="10363" xr:uid="{C70F4B17-1A84-4082-926B-2AA48138EB4C}"/>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7E5A4B6B-C471-4686-B2D9-0B4B5B301491}"/>
    <cellStyle name="Normal 9 3 2 7 2 3" xfId="12921" xr:uid="{086D11E3-FC34-4A6D-8D28-6CC2A936AEA5}"/>
    <cellStyle name="Normal 9 3 2 7 3" xfId="6544" xr:uid="{00000000-0005-0000-0000-0000F61F0000}"/>
    <cellStyle name="Normal 9 3 2 7 3 2" xfId="14994" xr:uid="{C6A38DBD-D345-4F63-9A1C-8B155FE23238}"/>
    <cellStyle name="Normal 9 3 2 7 4" xfId="10776" xr:uid="{364C6E1E-91C1-4D33-9DE3-21D8AB12C608}"/>
    <cellStyle name="Normal 9 3 2 8" xfId="2674" xr:uid="{00000000-0005-0000-0000-0000F71F0000}"/>
    <cellStyle name="Normal 9 3 2 8 2" xfId="6957" xr:uid="{00000000-0005-0000-0000-0000F81F0000}"/>
    <cellStyle name="Normal 9 3 2 8 2 2" xfId="15407" xr:uid="{FA4A8E21-397B-4780-B7C2-20D77E44E192}"/>
    <cellStyle name="Normal 9 3 2 8 3" xfId="11189" xr:uid="{AA259D93-D3C3-4802-BDBE-F21401E3C76D}"/>
    <cellStyle name="Normal 9 3 2 9" xfId="4892" xr:uid="{00000000-0005-0000-0000-0000F91F0000}"/>
    <cellStyle name="Normal 9 3 2 9 2" xfId="13342" xr:uid="{502C99BB-1A53-4ADA-BFFC-809CA75DF9E6}"/>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09E507BA-23A4-4F64-834D-378F167AC787}"/>
    <cellStyle name="Normal 9 3 3 2 2 2 3" xfId="11687" xr:uid="{420DF296-5F1E-4171-BA05-9A806417ED71}"/>
    <cellStyle name="Normal 9 3 3 2 2 3" xfId="5310" xr:uid="{00000000-0005-0000-0000-0000FF1F0000}"/>
    <cellStyle name="Normal 9 3 3 2 2 3 2" xfId="13760" xr:uid="{4FD220BA-3D8C-4BD3-ADDD-50D42F4571E6}"/>
    <cellStyle name="Normal 9 3 3 2 2 4" xfId="9542" xr:uid="{20FFEDC3-A232-4105-B59D-1888D1164B27}"/>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5AEA39A8-AC41-4728-82BE-5DD636B2A2A6}"/>
    <cellStyle name="Normal 9 3 3 2 3 2 3" xfId="12100" xr:uid="{9C7CE2AB-7DCC-4C37-8211-48F6DB5721F9}"/>
    <cellStyle name="Normal 9 3 3 2 3 3" xfId="5723" xr:uid="{00000000-0005-0000-0000-000003200000}"/>
    <cellStyle name="Normal 9 3 3 2 3 3 2" xfId="14173" xr:uid="{2F6EA062-73CE-4338-AF28-006163AF411D}"/>
    <cellStyle name="Normal 9 3 3 2 3 4" xfId="9955" xr:uid="{1C1E6C64-CDFE-4986-8716-E196F62152E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0947D9CF-55AC-4FB5-A34B-FCBF58AD0600}"/>
    <cellStyle name="Normal 9 3 3 2 4 2 3" xfId="12513" xr:uid="{DF2DFCCC-1430-4368-BCCC-4BF347C671B2}"/>
    <cellStyle name="Normal 9 3 3 2 4 3" xfId="6136" xr:uid="{00000000-0005-0000-0000-000007200000}"/>
    <cellStyle name="Normal 9 3 3 2 4 3 2" xfId="14586" xr:uid="{CEA8DF64-9A6B-4FE4-93F5-6914470AED53}"/>
    <cellStyle name="Normal 9 3 3 2 4 4" xfId="10368" xr:uid="{E6E6E5D9-7696-4179-9889-7F994EAC4212}"/>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9D866819-4F10-4667-B606-0D97E8ED841F}"/>
    <cellStyle name="Normal 9 3 3 2 5 2 3" xfId="12926" xr:uid="{668B80E5-DCD9-456C-9EA5-E1A547CD8665}"/>
    <cellStyle name="Normal 9 3 3 2 5 3" xfId="6549" xr:uid="{00000000-0005-0000-0000-00000B200000}"/>
    <cellStyle name="Normal 9 3 3 2 5 3 2" xfId="14999" xr:uid="{689B2DE0-0BDF-4616-A674-A85B25882C79}"/>
    <cellStyle name="Normal 9 3 3 2 5 4" xfId="10781" xr:uid="{DDACF96C-25F6-4610-85B3-3006B9148931}"/>
    <cellStyle name="Normal 9 3 3 2 6" xfId="2679" xr:uid="{00000000-0005-0000-0000-00000C200000}"/>
    <cellStyle name="Normal 9 3 3 2 6 2" xfId="6962" xr:uid="{00000000-0005-0000-0000-00000D200000}"/>
    <cellStyle name="Normal 9 3 3 2 6 2 2" xfId="15412" xr:uid="{C0E7545C-4782-446D-90B7-E3CFEB3F07FE}"/>
    <cellStyle name="Normal 9 3 3 2 6 3" xfId="11194" xr:uid="{DCF108DB-A784-464C-B675-CD64B8AE304B}"/>
    <cellStyle name="Normal 9 3 3 2 7" xfId="4897" xr:uid="{00000000-0005-0000-0000-00000E200000}"/>
    <cellStyle name="Normal 9 3 3 2 7 2" xfId="13347" xr:uid="{A021A13A-823B-4FE1-B5F0-44D9478645CE}"/>
    <cellStyle name="Normal 9 3 3 2 8" xfId="9129" xr:uid="{B7539480-3B11-4DB8-9660-038CF0EE5815}"/>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1D5B675C-425E-406A-9236-E4092591E745}"/>
    <cellStyle name="Normal 9 3 3 3 2 3" xfId="11686" xr:uid="{E331692B-6E23-4689-9898-87A51DDC3350}"/>
    <cellStyle name="Normal 9 3 3 3 3" xfId="5309" xr:uid="{00000000-0005-0000-0000-000012200000}"/>
    <cellStyle name="Normal 9 3 3 3 3 2" xfId="13759" xr:uid="{0E32485C-CE42-4F94-8E57-592E6A7BA303}"/>
    <cellStyle name="Normal 9 3 3 3 4" xfId="9541" xr:uid="{8ECBF569-64F1-4167-BE92-DC028D47685E}"/>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39336E36-A3C4-48F4-BB38-7C4241EB63F2}"/>
    <cellStyle name="Normal 9 3 3 4 2 3" xfId="12099" xr:uid="{A0A972DB-8983-4D1C-8799-F4151B9B8BF3}"/>
    <cellStyle name="Normal 9 3 3 4 3" xfId="5722" xr:uid="{00000000-0005-0000-0000-000016200000}"/>
    <cellStyle name="Normal 9 3 3 4 3 2" xfId="14172" xr:uid="{2B388012-73F7-4582-A480-6641DB7E82F2}"/>
    <cellStyle name="Normal 9 3 3 4 4" xfId="9954" xr:uid="{64E2FA33-E68A-4FDB-94C9-EC208D8CDCFE}"/>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E0A534FE-37D4-430B-99CE-829E12BA7DDD}"/>
    <cellStyle name="Normal 9 3 3 5 2 3" xfId="12512" xr:uid="{E87D3698-6A7F-439A-ACD4-F28444CE9B64}"/>
    <cellStyle name="Normal 9 3 3 5 3" xfId="6135" xr:uid="{00000000-0005-0000-0000-00001A200000}"/>
    <cellStyle name="Normal 9 3 3 5 3 2" xfId="14585" xr:uid="{40F5984E-6B0C-4060-8A82-588AA6223C1D}"/>
    <cellStyle name="Normal 9 3 3 5 4" xfId="10367" xr:uid="{911B7994-B469-440C-8AFD-83C90D820104}"/>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90929408-F4E4-413C-92F0-DBD7C99D7125}"/>
    <cellStyle name="Normal 9 3 3 6 2 3" xfId="12925" xr:uid="{A22A0C33-B18D-4DE9-97C4-ADF2765C9D59}"/>
    <cellStyle name="Normal 9 3 3 6 3" xfId="6548" xr:uid="{00000000-0005-0000-0000-00001E200000}"/>
    <cellStyle name="Normal 9 3 3 6 3 2" xfId="14998" xr:uid="{E97C9FE9-F0FA-42F3-BCE5-D8B52E65E073}"/>
    <cellStyle name="Normal 9 3 3 6 4" xfId="10780" xr:uid="{21503235-5CF4-467C-B697-D8FF5D06E414}"/>
    <cellStyle name="Normal 9 3 3 7" xfId="2678" xr:uid="{00000000-0005-0000-0000-00001F200000}"/>
    <cellStyle name="Normal 9 3 3 7 2" xfId="6961" xr:uid="{00000000-0005-0000-0000-000020200000}"/>
    <cellStyle name="Normal 9 3 3 7 2 2" xfId="15411" xr:uid="{B0F2389C-A359-42DF-BEC0-AFB9170AB805}"/>
    <cellStyle name="Normal 9 3 3 7 3" xfId="11193" xr:uid="{F7B55AD7-480D-4637-ADDE-845A2AC507BE}"/>
    <cellStyle name="Normal 9 3 3 8" xfId="4896" xr:uid="{00000000-0005-0000-0000-000021200000}"/>
    <cellStyle name="Normal 9 3 3 8 2" xfId="13346" xr:uid="{77A27DEE-1589-480D-9EA2-6F1FC86AD9EE}"/>
    <cellStyle name="Normal 9 3 3 9" xfId="9128" xr:uid="{FEE484F8-EEC3-4CD5-AF3F-6B6E601EFE3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30033B84-E11A-44FE-B56A-5A20BED945FE}"/>
    <cellStyle name="Normal 9 3 4 2 2 3" xfId="11688" xr:uid="{C1E644C0-5142-41DA-9B70-4F0B19E1DD00}"/>
    <cellStyle name="Normal 9 3 4 2 3" xfId="5311" xr:uid="{00000000-0005-0000-0000-000026200000}"/>
    <cellStyle name="Normal 9 3 4 2 3 2" xfId="13761" xr:uid="{E03E6F66-C179-417E-AAD3-0359898DEA47}"/>
    <cellStyle name="Normal 9 3 4 2 4" xfId="9543" xr:uid="{05FD2670-5DD9-4998-8FE1-7291836B23DC}"/>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31020521-F1EB-453E-9174-5C1A0A0001B6}"/>
    <cellStyle name="Normal 9 3 4 3 2 3" xfId="12101" xr:uid="{7FB4F9CF-01B2-46C0-A06A-8B73681C9E5E}"/>
    <cellStyle name="Normal 9 3 4 3 3" xfId="5724" xr:uid="{00000000-0005-0000-0000-00002A200000}"/>
    <cellStyle name="Normal 9 3 4 3 3 2" xfId="14174" xr:uid="{7A3D7929-6A30-46DE-AD3D-735908811888}"/>
    <cellStyle name="Normal 9 3 4 3 4" xfId="9956" xr:uid="{854386DB-4913-454E-B69B-5D5302015853}"/>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5BF48DDA-B594-413B-B13A-296FF825BF45}"/>
    <cellStyle name="Normal 9 3 4 4 2 3" xfId="12514" xr:uid="{64FC0CA7-0610-451E-8BBF-CAC495983E21}"/>
    <cellStyle name="Normal 9 3 4 4 3" xfId="6137" xr:uid="{00000000-0005-0000-0000-00002E200000}"/>
    <cellStyle name="Normal 9 3 4 4 3 2" xfId="14587" xr:uid="{69558DEF-391D-48AA-AE94-9002D8E1FDC0}"/>
    <cellStyle name="Normal 9 3 4 4 4" xfId="10369" xr:uid="{7B4D731C-ED57-4379-B88D-F201F3EDFEF9}"/>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39D9B7BC-C30A-4A9B-87C5-2C763AC425CD}"/>
    <cellStyle name="Normal 9 3 4 5 2 3" xfId="12927" xr:uid="{14145B78-03B9-46D2-B181-F99829196967}"/>
    <cellStyle name="Normal 9 3 4 5 3" xfId="6550" xr:uid="{00000000-0005-0000-0000-000032200000}"/>
    <cellStyle name="Normal 9 3 4 5 3 2" xfId="15000" xr:uid="{FC6D1C84-6D93-4C62-BE0E-AD9860BB3CBD}"/>
    <cellStyle name="Normal 9 3 4 5 4" xfId="10782" xr:uid="{885FC845-04EB-46A5-8049-B13F8A064968}"/>
    <cellStyle name="Normal 9 3 4 6" xfId="2680" xr:uid="{00000000-0005-0000-0000-000033200000}"/>
    <cellStyle name="Normal 9 3 4 6 2" xfId="6963" xr:uid="{00000000-0005-0000-0000-000034200000}"/>
    <cellStyle name="Normal 9 3 4 6 2 2" xfId="15413" xr:uid="{BE9247BA-1267-46B1-B23C-16AB74A494B3}"/>
    <cellStyle name="Normal 9 3 4 6 3" xfId="11195" xr:uid="{3CC93475-559B-4B8B-9AA1-A7C0495257E9}"/>
    <cellStyle name="Normal 9 3 4 7" xfId="4898" xr:uid="{00000000-0005-0000-0000-000035200000}"/>
    <cellStyle name="Normal 9 3 4 7 2" xfId="13348" xr:uid="{59748643-922B-40B7-8626-487F043CC472}"/>
    <cellStyle name="Normal 9 3 4 8" xfId="9130" xr:uid="{663D1109-68EA-4AB5-A126-4FB7287F6FDA}"/>
    <cellStyle name="Normal 9 3 5" xfId="994" xr:uid="{00000000-0005-0000-0000-000036200000}"/>
    <cellStyle name="Normal 9 3 5 2" xfId="3227" xr:uid="{00000000-0005-0000-0000-000037200000}"/>
    <cellStyle name="Normal 9 3 5 2 2" xfId="7449" xr:uid="{00000000-0005-0000-0000-000038200000}"/>
    <cellStyle name="Normal 9 3 5 2 2 2" xfId="15899" xr:uid="{0CAF4170-7C49-4231-BD9B-16484AB26DFF}"/>
    <cellStyle name="Normal 9 3 5 2 3" xfId="11681" xr:uid="{78C7F211-5BF6-4A65-865C-FD393D98A0CA}"/>
    <cellStyle name="Normal 9 3 5 3" xfId="5304" xr:uid="{00000000-0005-0000-0000-000039200000}"/>
    <cellStyle name="Normal 9 3 5 3 2" xfId="13754" xr:uid="{ECBA1C8D-5A68-48EE-8597-CD116BA2715F}"/>
    <cellStyle name="Normal 9 3 5 4" xfId="9536" xr:uid="{8D68E9FE-8A1C-43B3-8F78-DA2B629745C3}"/>
    <cellStyle name="Normal 9 3 6" xfId="1410" xr:uid="{00000000-0005-0000-0000-00003A200000}"/>
    <cellStyle name="Normal 9 3 6 2" xfId="3640" xr:uid="{00000000-0005-0000-0000-00003B200000}"/>
    <cellStyle name="Normal 9 3 6 2 2" xfId="7862" xr:uid="{00000000-0005-0000-0000-00003C200000}"/>
    <cellStyle name="Normal 9 3 6 2 2 2" xfId="16312" xr:uid="{68A35F7F-1068-47CD-9A98-A057E0B118BD}"/>
    <cellStyle name="Normal 9 3 6 2 3" xfId="12094" xr:uid="{68CDA629-0B43-4F5A-81E6-AACB21659D59}"/>
    <cellStyle name="Normal 9 3 6 3" xfId="5717" xr:uid="{00000000-0005-0000-0000-00003D200000}"/>
    <cellStyle name="Normal 9 3 6 3 2" xfId="14167" xr:uid="{16BB41F4-A22C-4E2E-8075-05778580202A}"/>
    <cellStyle name="Normal 9 3 6 4" xfId="9949" xr:uid="{59658EE5-B405-4DD4-9FEE-438031AB4F95}"/>
    <cellStyle name="Normal 9 3 7" xfId="1823" xr:uid="{00000000-0005-0000-0000-00003E200000}"/>
    <cellStyle name="Normal 9 3 7 2" xfId="4053" xr:uid="{00000000-0005-0000-0000-00003F200000}"/>
    <cellStyle name="Normal 9 3 7 2 2" xfId="8275" xr:uid="{00000000-0005-0000-0000-000040200000}"/>
    <cellStyle name="Normal 9 3 7 2 2 2" xfId="16725" xr:uid="{BCDB9258-7B15-412F-BA60-A8B8EFDE6BD3}"/>
    <cellStyle name="Normal 9 3 7 2 3" xfId="12507" xr:uid="{91EFAE88-A2B5-4AE5-B885-3BAB0BFAB354}"/>
    <cellStyle name="Normal 9 3 7 3" xfId="6130" xr:uid="{00000000-0005-0000-0000-000041200000}"/>
    <cellStyle name="Normal 9 3 7 3 2" xfId="14580" xr:uid="{63E7254C-3471-445A-9B60-F366F926E3D0}"/>
    <cellStyle name="Normal 9 3 7 4" xfId="10362" xr:uid="{E563C8A1-2C04-4412-999C-9DAD634F94AD}"/>
    <cellStyle name="Normal 9 3 8" xfId="2237" xr:uid="{00000000-0005-0000-0000-000042200000}"/>
    <cellStyle name="Normal 9 3 8 2" xfId="4466" xr:uid="{00000000-0005-0000-0000-000043200000}"/>
    <cellStyle name="Normal 9 3 8 2 2" xfId="8688" xr:uid="{00000000-0005-0000-0000-000044200000}"/>
    <cellStyle name="Normal 9 3 8 2 2 2" xfId="17138" xr:uid="{1EDABDB8-3DA6-417A-81BF-D22D8D051A17}"/>
    <cellStyle name="Normal 9 3 8 2 3" xfId="12920" xr:uid="{8A753275-7508-455B-B9A9-6FB68379747D}"/>
    <cellStyle name="Normal 9 3 8 3" xfId="6543" xr:uid="{00000000-0005-0000-0000-000045200000}"/>
    <cellStyle name="Normal 9 3 8 3 2" xfId="14993" xr:uid="{5524A38A-9B47-440A-BE0A-16B4EC53B828}"/>
    <cellStyle name="Normal 9 3 8 4" xfId="10775" xr:uid="{9E2B0CCB-3B61-4438-8311-222207D3E22F}"/>
    <cellStyle name="Normal 9 3 9" xfId="2673" xr:uid="{00000000-0005-0000-0000-000046200000}"/>
    <cellStyle name="Normal 9 3 9 2" xfId="6956" xr:uid="{00000000-0005-0000-0000-000047200000}"/>
    <cellStyle name="Normal 9 3 9 2 2" xfId="15406" xr:uid="{22EE55E1-43F1-4E66-B07D-FC0426875819}"/>
    <cellStyle name="Normal 9 3 9 3" xfId="11188" xr:uid="{22807033-32E1-481C-9B6F-C33605A17441}"/>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1F363B80-890A-46FF-AB0F-CA86DFB32A11}"/>
    <cellStyle name="Normal 9 5 2 2 2 3" xfId="11690" xr:uid="{636011D6-71E9-4A44-B91E-05D4519F44CD}"/>
    <cellStyle name="Normal 9 5 2 2 3" xfId="5313" xr:uid="{00000000-0005-0000-0000-00004F200000}"/>
    <cellStyle name="Normal 9 5 2 2 3 2" xfId="13763" xr:uid="{C33AC6F6-7DF1-48D7-9407-7A1F958D5362}"/>
    <cellStyle name="Normal 9 5 2 2 4" xfId="9545" xr:uid="{4D3E5FAA-DE06-4219-9698-0A4791C363E5}"/>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E7CB651B-92F8-4136-8398-F6D31016255A}"/>
    <cellStyle name="Normal 9 5 2 3 2 3" xfId="12103" xr:uid="{DEDCB287-1EAC-43DF-B732-F3B726C4E34B}"/>
    <cellStyle name="Normal 9 5 2 3 3" xfId="5726" xr:uid="{00000000-0005-0000-0000-000053200000}"/>
    <cellStyle name="Normal 9 5 2 3 3 2" xfId="14176" xr:uid="{DFE0BE3D-6535-4E7D-B5ED-452CD8A3E250}"/>
    <cellStyle name="Normal 9 5 2 3 4" xfId="9958" xr:uid="{4B5F2948-DD60-4C51-961F-6D06F1E0F0D9}"/>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694BAB50-145D-488A-BAC5-5027C756C24C}"/>
    <cellStyle name="Normal 9 5 2 4 2 3" xfId="12516" xr:uid="{8B6681A7-C9AB-417F-9F78-1E10AE0A23EB}"/>
    <cellStyle name="Normal 9 5 2 4 3" xfId="6139" xr:uid="{00000000-0005-0000-0000-000057200000}"/>
    <cellStyle name="Normal 9 5 2 4 3 2" xfId="14589" xr:uid="{AF385D52-E4D6-4CB4-B5C9-8104A56B4188}"/>
    <cellStyle name="Normal 9 5 2 4 4" xfId="10371" xr:uid="{AFBF3EAD-2543-417E-9C82-1CB1666ED2FB}"/>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784D3E4A-881C-49B7-962A-F640C7D2CEBE}"/>
    <cellStyle name="Normal 9 5 2 5 2 3" xfId="12929" xr:uid="{495D71DC-491A-425D-99D2-E8A009C70391}"/>
    <cellStyle name="Normal 9 5 2 5 3" xfId="6552" xr:uid="{00000000-0005-0000-0000-00005B200000}"/>
    <cellStyle name="Normal 9 5 2 5 3 2" xfId="15002" xr:uid="{9F7FA41F-B418-4812-A1DE-2146CCF439F1}"/>
    <cellStyle name="Normal 9 5 2 5 4" xfId="10784" xr:uid="{CDC514AC-952E-49FA-9737-8C3DE8F4C88D}"/>
    <cellStyle name="Normal 9 5 2 6" xfId="2682" xr:uid="{00000000-0005-0000-0000-00005C200000}"/>
    <cellStyle name="Normal 9 5 2 6 2" xfId="6965" xr:uid="{00000000-0005-0000-0000-00005D200000}"/>
    <cellStyle name="Normal 9 5 2 6 2 2" xfId="15415" xr:uid="{502E74E4-F90E-49EE-9EE9-51913CCE58D2}"/>
    <cellStyle name="Normal 9 5 2 6 3" xfId="11197" xr:uid="{836C80E6-24F0-4C14-BA72-AA2E941D7989}"/>
    <cellStyle name="Normal 9 5 2 7" xfId="4900" xr:uid="{00000000-0005-0000-0000-00005E200000}"/>
    <cellStyle name="Normal 9 5 2 7 2" xfId="13350" xr:uid="{C3431FDB-50F1-4CE9-9D7F-510DA386788E}"/>
    <cellStyle name="Normal 9 5 2 8" xfId="9132" xr:uid="{4905E635-16EF-4AF6-9CF3-ACC03D81E9E7}"/>
    <cellStyle name="Normal 9 5 3" xfId="1003" xr:uid="{00000000-0005-0000-0000-00005F200000}"/>
    <cellStyle name="Normal 9 5 3 2" xfId="3235" xr:uid="{00000000-0005-0000-0000-000060200000}"/>
    <cellStyle name="Normal 9 5 3 2 2" xfId="7457" xr:uid="{00000000-0005-0000-0000-000061200000}"/>
    <cellStyle name="Normal 9 5 3 2 2 2" xfId="15907" xr:uid="{B5D710D4-29C2-4F74-A44A-E7188E4692FF}"/>
    <cellStyle name="Normal 9 5 3 2 3" xfId="11689" xr:uid="{31B0A062-1268-41B8-9872-EBD2A45A2F65}"/>
    <cellStyle name="Normal 9 5 3 3" xfId="5312" xr:uid="{00000000-0005-0000-0000-000062200000}"/>
    <cellStyle name="Normal 9 5 3 3 2" xfId="13762" xr:uid="{C57DA2C6-C637-4376-94FF-677CD3E5C3FA}"/>
    <cellStyle name="Normal 9 5 3 4" xfId="9544" xr:uid="{8650AD61-AC01-4745-BD7F-DAF0B8F44751}"/>
    <cellStyle name="Normal 9 5 4" xfId="1418" xr:uid="{00000000-0005-0000-0000-000063200000}"/>
    <cellStyle name="Normal 9 5 4 2" xfId="3648" xr:uid="{00000000-0005-0000-0000-000064200000}"/>
    <cellStyle name="Normal 9 5 4 2 2" xfId="7870" xr:uid="{00000000-0005-0000-0000-000065200000}"/>
    <cellStyle name="Normal 9 5 4 2 2 2" xfId="16320" xr:uid="{967B79DD-491D-453C-B5EB-EAE5DA639F30}"/>
    <cellStyle name="Normal 9 5 4 2 3" xfId="12102" xr:uid="{1BCD0A50-A7D6-47EE-B07B-15207288B74F}"/>
    <cellStyle name="Normal 9 5 4 3" xfId="5725" xr:uid="{00000000-0005-0000-0000-000066200000}"/>
    <cellStyle name="Normal 9 5 4 3 2" xfId="14175" xr:uid="{F4BB641C-DB03-4ABA-B0FC-9CC41115ED10}"/>
    <cellStyle name="Normal 9 5 4 4" xfId="9957" xr:uid="{2F8A8EB3-A097-49D4-863C-57AB31D5B7FA}"/>
    <cellStyle name="Normal 9 5 5" xfId="1831" xr:uid="{00000000-0005-0000-0000-000067200000}"/>
    <cellStyle name="Normal 9 5 5 2" xfId="4061" xr:uid="{00000000-0005-0000-0000-000068200000}"/>
    <cellStyle name="Normal 9 5 5 2 2" xfId="8283" xr:uid="{00000000-0005-0000-0000-000069200000}"/>
    <cellStyle name="Normal 9 5 5 2 2 2" xfId="16733" xr:uid="{0A3AB3C6-3D81-41C9-BE75-A66C8308494E}"/>
    <cellStyle name="Normal 9 5 5 2 3" xfId="12515" xr:uid="{B81BF741-CAF7-4E58-848B-13C24F5320B3}"/>
    <cellStyle name="Normal 9 5 5 3" xfId="6138" xr:uid="{00000000-0005-0000-0000-00006A200000}"/>
    <cellStyle name="Normal 9 5 5 3 2" xfId="14588" xr:uid="{BAA3A4E6-974C-4227-BC57-CFA97BF9E64B}"/>
    <cellStyle name="Normal 9 5 5 4" xfId="10370" xr:uid="{1098A75A-1BE3-4584-8FAF-B6C3D4718AB0}"/>
    <cellStyle name="Normal 9 5 6" xfId="2245" xr:uid="{00000000-0005-0000-0000-00006B200000}"/>
    <cellStyle name="Normal 9 5 6 2" xfId="4474" xr:uid="{00000000-0005-0000-0000-00006C200000}"/>
    <cellStyle name="Normal 9 5 6 2 2" xfId="8696" xr:uid="{00000000-0005-0000-0000-00006D200000}"/>
    <cellStyle name="Normal 9 5 6 2 2 2" xfId="17146" xr:uid="{C701FBDA-1920-43EE-A381-383A9C04CD9A}"/>
    <cellStyle name="Normal 9 5 6 2 3" xfId="12928" xr:uid="{9D523611-4E3E-4D06-B456-EDEFB932C57B}"/>
    <cellStyle name="Normal 9 5 6 3" xfId="6551" xr:uid="{00000000-0005-0000-0000-00006E200000}"/>
    <cellStyle name="Normal 9 5 6 3 2" xfId="15001" xr:uid="{666E02FF-0EA3-407D-848D-D92FF0DA6E2A}"/>
    <cellStyle name="Normal 9 5 6 4" xfId="10783" xr:uid="{32CE17DC-B178-4B89-A5B3-25DE2C249FFF}"/>
    <cellStyle name="Normal 9 5 7" xfId="2681" xr:uid="{00000000-0005-0000-0000-00006F200000}"/>
    <cellStyle name="Normal 9 5 7 2" xfId="6964" xr:uid="{00000000-0005-0000-0000-000070200000}"/>
    <cellStyle name="Normal 9 5 7 2 2" xfId="15414" xr:uid="{90E15B8D-D45F-41D5-9FAD-52E4A1C7A0A5}"/>
    <cellStyle name="Normal 9 5 7 3" xfId="11196" xr:uid="{68696F1B-358F-4210-8FE1-6D760486BEF2}"/>
    <cellStyle name="Normal 9 5 8" xfId="4899" xr:uid="{00000000-0005-0000-0000-000071200000}"/>
    <cellStyle name="Normal 9 5 8 2" xfId="13349" xr:uid="{6A93E603-5452-40F7-B283-D4812FB9F603}"/>
    <cellStyle name="Normal 9 5 9" xfId="9131" xr:uid="{DEC56B2F-510B-4498-BE5D-BE516BE6A82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6C1606DE-F0CE-44F1-B58C-C046993D8DB6}"/>
    <cellStyle name="Normal 9 6 2 2 3" xfId="11691" xr:uid="{605F0F67-27D0-4B66-9397-95C4B0E0CD81}"/>
    <cellStyle name="Normal 9 6 2 3" xfId="5314" xr:uid="{00000000-0005-0000-0000-000076200000}"/>
    <cellStyle name="Normal 9 6 2 3 2" xfId="13764" xr:uid="{3F0DC2E2-1FB9-471A-AC6E-6C9AFFFA61EC}"/>
    <cellStyle name="Normal 9 6 2 4" xfId="9546" xr:uid="{5979D54C-9A06-4287-83FA-BDEB3096A725}"/>
    <cellStyle name="Normal 9 6 3" xfId="1420" xr:uid="{00000000-0005-0000-0000-000077200000}"/>
    <cellStyle name="Normal 9 6 3 2" xfId="3650" xr:uid="{00000000-0005-0000-0000-000078200000}"/>
    <cellStyle name="Normal 9 6 3 2 2" xfId="7872" xr:uid="{00000000-0005-0000-0000-000079200000}"/>
    <cellStyle name="Normal 9 6 3 2 2 2" xfId="16322" xr:uid="{17483755-34B3-4A40-ACEB-CDEB51DCD8E7}"/>
    <cellStyle name="Normal 9 6 3 2 3" xfId="12104" xr:uid="{B5EEFFDA-98B8-40A6-AB75-1A0BB424C6B8}"/>
    <cellStyle name="Normal 9 6 3 3" xfId="5727" xr:uid="{00000000-0005-0000-0000-00007A200000}"/>
    <cellStyle name="Normal 9 6 3 3 2" xfId="14177" xr:uid="{A5D88618-520D-45F3-B6EA-3EFF0C776E71}"/>
    <cellStyle name="Normal 9 6 3 4" xfId="9959" xr:uid="{244AB61D-066D-4808-A259-E6B6BC3D28D8}"/>
    <cellStyle name="Normal 9 6 4" xfId="1833" xr:uid="{00000000-0005-0000-0000-00007B200000}"/>
    <cellStyle name="Normal 9 6 4 2" xfId="4063" xr:uid="{00000000-0005-0000-0000-00007C200000}"/>
    <cellStyle name="Normal 9 6 4 2 2" xfId="8285" xr:uid="{00000000-0005-0000-0000-00007D200000}"/>
    <cellStyle name="Normal 9 6 4 2 2 2" xfId="16735" xr:uid="{AC1BE879-ACFB-452F-8874-827388F16B78}"/>
    <cellStyle name="Normal 9 6 4 2 3" xfId="12517" xr:uid="{6D600BFC-C766-432F-B81E-5933611AB7CC}"/>
    <cellStyle name="Normal 9 6 4 3" xfId="6140" xr:uid="{00000000-0005-0000-0000-00007E200000}"/>
    <cellStyle name="Normal 9 6 4 3 2" xfId="14590" xr:uid="{0D70A814-3A2E-4201-BBB2-32BB65B53335}"/>
    <cellStyle name="Normal 9 6 4 4" xfId="10372" xr:uid="{1A203CAD-463C-43BB-A63A-8F6244E5D358}"/>
    <cellStyle name="Normal 9 6 5" xfId="2247" xr:uid="{00000000-0005-0000-0000-00007F200000}"/>
    <cellStyle name="Normal 9 6 5 2" xfId="4476" xr:uid="{00000000-0005-0000-0000-000080200000}"/>
    <cellStyle name="Normal 9 6 5 2 2" xfId="8698" xr:uid="{00000000-0005-0000-0000-000081200000}"/>
    <cellStyle name="Normal 9 6 5 2 2 2" xfId="17148" xr:uid="{9370F57F-843C-4876-A821-A730D270ADAB}"/>
    <cellStyle name="Normal 9 6 5 2 3" xfId="12930" xr:uid="{EFD8CC2A-37F2-431B-AF58-7F1C77E80BE5}"/>
    <cellStyle name="Normal 9 6 5 3" xfId="6553" xr:uid="{00000000-0005-0000-0000-000082200000}"/>
    <cellStyle name="Normal 9 6 5 3 2" xfId="15003" xr:uid="{0BA83FD3-F794-4E61-9A19-BA875FE1572F}"/>
    <cellStyle name="Normal 9 6 5 4" xfId="10785" xr:uid="{ED04CC5C-0459-433F-9BA7-A237AE023FF7}"/>
    <cellStyle name="Normal 9 6 6" xfId="2683" xr:uid="{00000000-0005-0000-0000-000083200000}"/>
    <cellStyle name="Normal 9 6 6 2" xfId="6966" xr:uid="{00000000-0005-0000-0000-000084200000}"/>
    <cellStyle name="Normal 9 6 6 2 2" xfId="15416" xr:uid="{D89F580D-5451-4B3D-B604-1E5C50685246}"/>
    <cellStyle name="Normal 9 6 6 3" xfId="11198" xr:uid="{CDC20946-44A6-49C9-8B2C-D00F4D5A7D54}"/>
    <cellStyle name="Normal 9 6 7" xfId="4901" xr:uid="{00000000-0005-0000-0000-000085200000}"/>
    <cellStyle name="Normal 9 6 7 2" xfId="13351" xr:uid="{D2629949-D34D-4200-A91C-28F79C676A3E}"/>
    <cellStyle name="Normal 9 6 8" xfId="9133" xr:uid="{E4540443-8056-4C7A-B7C1-B195A6CDE54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3E9B980A-FF6A-4603-80F5-5A7E35A19C35}"/>
    <cellStyle name="Note 2 2 10 3" xfId="11279" xr:uid="{6DFBFE5D-5276-47F4-BBD7-EE7EFFFC39AE}"/>
    <cellStyle name="Note 2 2 11" xfId="4902" xr:uid="{00000000-0005-0000-0000-000094200000}"/>
    <cellStyle name="Note 2 2 11 2" xfId="13352" xr:uid="{FA427781-AB47-4F65-A994-F1F61F20A6E6}"/>
    <cellStyle name="Note 2 2 12" xfId="9134" xr:uid="{963615F5-346C-48B7-A495-B70C0C4C38B6}"/>
    <cellStyle name="Note 2 2 2" xfId="546" xr:uid="{00000000-0005-0000-0000-000095200000}"/>
    <cellStyle name="Note 2 2 2 10" xfId="4903" xr:uid="{00000000-0005-0000-0000-000096200000}"/>
    <cellStyle name="Note 2 2 2 10 2" xfId="13353" xr:uid="{1F27DBAD-74BA-4A06-86AF-6C5508D7DEBC}"/>
    <cellStyle name="Note 2 2 2 11" xfId="9135" xr:uid="{23A911E0-EFBD-4C93-BB11-79C607ED7D1C}"/>
    <cellStyle name="Note 2 2 2 2" xfId="547" xr:uid="{00000000-0005-0000-0000-000097200000}"/>
    <cellStyle name="Note 2 2 2 2 10" xfId="9136" xr:uid="{8D13E013-FD75-41E2-8C84-8F261D17B4A0}"/>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C34C9A68-D0C2-4D71-AF17-047A345B6499}"/>
    <cellStyle name="Note 2 2 2 2 2 2 3" xfId="11694" xr:uid="{CA48C2FB-9D19-4210-8EA4-99D4BE33E7C2}"/>
    <cellStyle name="Note 2 2 2 2 2 3" xfId="5317" xr:uid="{00000000-0005-0000-0000-00009B200000}"/>
    <cellStyle name="Note 2 2 2 2 2 3 2" xfId="13767" xr:uid="{9E187CD2-3BCA-4603-8B5A-935B090C4162}"/>
    <cellStyle name="Note 2 2 2 2 2 4" xfId="9549" xr:uid="{E5420F6F-1236-4DED-BB4B-A3535B7CCE2F}"/>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BBFF1F7E-5714-4847-A18B-EE8AFD6FEA1C}"/>
    <cellStyle name="Note 2 2 2 2 3 2 3" xfId="12107" xr:uid="{4715A780-579B-4093-AF02-2B3A0F32EE89}"/>
    <cellStyle name="Note 2 2 2 2 3 3" xfId="5730" xr:uid="{00000000-0005-0000-0000-00009F200000}"/>
    <cellStyle name="Note 2 2 2 2 3 3 2" xfId="14180" xr:uid="{B81481F8-972D-46D8-B5CB-C3B34B5CEB6C}"/>
    <cellStyle name="Note 2 2 2 2 3 4" xfId="9962" xr:uid="{9A8B0F94-EFDF-4CD6-A734-5451399328CB}"/>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0953C58D-D12E-4BE4-B0DC-825E59E5A887}"/>
    <cellStyle name="Note 2 2 2 2 4 2 3" xfId="12520" xr:uid="{6E86042B-7BAB-4276-BC32-2F7CAADE2754}"/>
    <cellStyle name="Note 2 2 2 2 4 3" xfId="6143" xr:uid="{00000000-0005-0000-0000-0000A3200000}"/>
    <cellStyle name="Note 2 2 2 2 4 3 2" xfId="14593" xr:uid="{C4CAF720-3711-48D9-B108-F90509AC4692}"/>
    <cellStyle name="Note 2 2 2 2 4 4" xfId="10375" xr:uid="{BDE97CD1-2EF2-4C2C-AE76-FE23BC60407F}"/>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028AFBE0-C453-4DE4-9D40-E3A8846A2523}"/>
    <cellStyle name="Note 2 2 2 2 5 2 3" xfId="12933" xr:uid="{3CEFCD78-A6A3-42DC-963B-517B6DFD1952}"/>
    <cellStyle name="Note 2 2 2 2 5 3" xfId="6556" xr:uid="{00000000-0005-0000-0000-0000A7200000}"/>
    <cellStyle name="Note 2 2 2 2 5 3 2" xfId="15006" xr:uid="{A77360EA-2CFB-4B89-969C-217DF3770D56}"/>
    <cellStyle name="Note 2 2 2 2 5 4" xfId="10788" xr:uid="{3A944A0F-6195-4A61-9ABF-1A6114C36E82}"/>
    <cellStyle name="Note 2 2 2 2 6" xfId="2686" xr:uid="{00000000-0005-0000-0000-0000A8200000}"/>
    <cellStyle name="Note 2 2 2 2 6 2" xfId="6969" xr:uid="{00000000-0005-0000-0000-0000A9200000}"/>
    <cellStyle name="Note 2 2 2 2 6 2 2" xfId="15419" xr:uid="{6D71E2EA-E009-4042-B941-F7A2305251FD}"/>
    <cellStyle name="Note 2 2 2 2 6 3" xfId="11201" xr:uid="{82FD8A90-6EF0-4E3C-99E0-29C766EFC0F8}"/>
    <cellStyle name="Note 2 2 2 2 7" xfId="2745" xr:uid="{00000000-0005-0000-0000-0000AA200000}"/>
    <cellStyle name="Note 2 2 2 2 8" xfId="2826" xr:uid="{00000000-0005-0000-0000-0000AB200000}"/>
    <cellStyle name="Note 2 2 2 2 8 2" xfId="7049" xr:uid="{00000000-0005-0000-0000-0000AC200000}"/>
    <cellStyle name="Note 2 2 2 2 8 2 2" xfId="15499" xr:uid="{DA6294C5-CF33-4A4F-B8C4-6AD82ED0C5CE}"/>
    <cellStyle name="Note 2 2 2 2 8 3" xfId="11281" xr:uid="{79BC03C0-8E8F-4DE3-97C7-77368133AF75}"/>
    <cellStyle name="Note 2 2 2 2 9" xfId="4904" xr:uid="{00000000-0005-0000-0000-0000AD200000}"/>
    <cellStyle name="Note 2 2 2 2 9 2" xfId="13354" xr:uid="{9607E5EA-EFAE-40E3-80E0-D167BF3D1605}"/>
    <cellStyle name="Note 2 2 2 3" xfId="1007" xr:uid="{00000000-0005-0000-0000-0000AE200000}"/>
    <cellStyle name="Note 2 2 2 3 2" xfId="3239" xr:uid="{00000000-0005-0000-0000-0000AF200000}"/>
    <cellStyle name="Note 2 2 2 3 2 2" xfId="7461" xr:uid="{00000000-0005-0000-0000-0000B0200000}"/>
    <cellStyle name="Note 2 2 2 3 2 2 2" xfId="15911" xr:uid="{111F7D35-84C1-4B6D-AE12-3C0032A0C640}"/>
    <cellStyle name="Note 2 2 2 3 2 3" xfId="11693" xr:uid="{6D07EE8F-7A95-4658-AA7A-2F388B975743}"/>
    <cellStyle name="Note 2 2 2 3 3" xfId="5316" xr:uid="{00000000-0005-0000-0000-0000B1200000}"/>
    <cellStyle name="Note 2 2 2 3 3 2" xfId="13766" xr:uid="{5C7B340E-6D66-4636-A2C6-349355F827EA}"/>
    <cellStyle name="Note 2 2 2 3 4" xfId="9548" xr:uid="{C8DF8939-5BCE-43B0-89C3-5708D2F7EC13}"/>
    <cellStyle name="Note 2 2 2 4" xfId="1422" xr:uid="{00000000-0005-0000-0000-0000B2200000}"/>
    <cellStyle name="Note 2 2 2 4 2" xfId="3652" xr:uid="{00000000-0005-0000-0000-0000B3200000}"/>
    <cellStyle name="Note 2 2 2 4 2 2" xfId="7874" xr:uid="{00000000-0005-0000-0000-0000B4200000}"/>
    <cellStyle name="Note 2 2 2 4 2 2 2" xfId="16324" xr:uid="{58A622D8-5EBA-43DC-9374-848A8CE0CCD3}"/>
    <cellStyle name="Note 2 2 2 4 2 3" xfId="12106" xr:uid="{940EA4B7-5D11-4395-82B8-A05C5C200600}"/>
    <cellStyle name="Note 2 2 2 4 3" xfId="5729" xr:uid="{00000000-0005-0000-0000-0000B5200000}"/>
    <cellStyle name="Note 2 2 2 4 3 2" xfId="14179" xr:uid="{2B46DAC7-5016-4DEE-AC59-D143427F948B}"/>
    <cellStyle name="Note 2 2 2 4 4" xfId="9961" xr:uid="{9D9EF211-9B6D-4DC9-9630-5E99555449B2}"/>
    <cellStyle name="Note 2 2 2 5" xfId="1836" xr:uid="{00000000-0005-0000-0000-0000B6200000}"/>
    <cellStyle name="Note 2 2 2 5 2" xfId="4065" xr:uid="{00000000-0005-0000-0000-0000B7200000}"/>
    <cellStyle name="Note 2 2 2 5 2 2" xfId="8287" xr:uid="{00000000-0005-0000-0000-0000B8200000}"/>
    <cellStyle name="Note 2 2 2 5 2 2 2" xfId="16737" xr:uid="{F9E07978-588A-4EB6-8C3D-E32AE022E342}"/>
    <cellStyle name="Note 2 2 2 5 2 3" xfId="12519" xr:uid="{7CF2EEAF-31B9-41DA-8EB2-9CF0D96756F9}"/>
    <cellStyle name="Note 2 2 2 5 3" xfId="6142" xr:uid="{00000000-0005-0000-0000-0000B9200000}"/>
    <cellStyle name="Note 2 2 2 5 3 2" xfId="14592" xr:uid="{D270BC6A-E704-42BC-AD2E-793F1997D5DC}"/>
    <cellStyle name="Note 2 2 2 5 4" xfId="10374" xr:uid="{73449EE8-5843-4673-80EA-4207549F58F4}"/>
    <cellStyle name="Note 2 2 2 6" xfId="2249" xr:uid="{00000000-0005-0000-0000-0000BA200000}"/>
    <cellStyle name="Note 2 2 2 6 2" xfId="4478" xr:uid="{00000000-0005-0000-0000-0000BB200000}"/>
    <cellStyle name="Note 2 2 2 6 2 2" xfId="8700" xr:uid="{00000000-0005-0000-0000-0000BC200000}"/>
    <cellStyle name="Note 2 2 2 6 2 2 2" xfId="17150" xr:uid="{AA203AB9-F703-4121-A629-61BEB5ECACC0}"/>
    <cellStyle name="Note 2 2 2 6 2 3" xfId="12932" xr:uid="{8D408024-9B04-4C8D-9C73-EE2820BDC6DB}"/>
    <cellStyle name="Note 2 2 2 6 3" xfId="6555" xr:uid="{00000000-0005-0000-0000-0000BD200000}"/>
    <cellStyle name="Note 2 2 2 6 3 2" xfId="15005" xr:uid="{5718B83E-961D-45D0-A98F-C574C86192ED}"/>
    <cellStyle name="Note 2 2 2 6 4" xfId="10787" xr:uid="{1A87ED5F-3E73-4F35-A7D2-012A7C487321}"/>
    <cellStyle name="Note 2 2 2 7" xfId="2685" xr:uid="{00000000-0005-0000-0000-0000BE200000}"/>
    <cellStyle name="Note 2 2 2 7 2" xfId="6968" xr:uid="{00000000-0005-0000-0000-0000BF200000}"/>
    <cellStyle name="Note 2 2 2 7 2 2" xfId="15418" xr:uid="{E4DBCDA5-D00B-4335-B537-AF780E175E75}"/>
    <cellStyle name="Note 2 2 2 7 3" xfId="11200" xr:uid="{E6B3581E-119B-4664-8B70-384E619A54EC}"/>
    <cellStyle name="Note 2 2 2 8" xfId="2744" xr:uid="{00000000-0005-0000-0000-0000C0200000}"/>
    <cellStyle name="Note 2 2 2 9" xfId="2825" xr:uid="{00000000-0005-0000-0000-0000C1200000}"/>
    <cellStyle name="Note 2 2 2 9 2" xfId="7048" xr:uid="{00000000-0005-0000-0000-0000C2200000}"/>
    <cellStyle name="Note 2 2 2 9 2 2" xfId="15498" xr:uid="{140651AA-68A9-4CB3-9533-019F46DF154A}"/>
    <cellStyle name="Note 2 2 2 9 3" xfId="11280" xr:uid="{B1E5158E-7E0A-4A41-AB5C-9A84BC82F86A}"/>
    <cellStyle name="Note 2 2 3" xfId="548" xr:uid="{00000000-0005-0000-0000-0000C3200000}"/>
    <cellStyle name="Note 2 2 3 10" xfId="9137" xr:uid="{AD543416-FBCE-4746-AF69-8A9CE00A9F0B}"/>
    <cellStyle name="Note 2 2 3 2" xfId="1009" xr:uid="{00000000-0005-0000-0000-0000C4200000}"/>
    <cellStyle name="Note 2 2 3 2 2" xfId="3241" xr:uid="{00000000-0005-0000-0000-0000C5200000}"/>
    <cellStyle name="Note 2 2 3 2 2 2" xfId="7463" xr:uid="{00000000-0005-0000-0000-0000C6200000}"/>
    <cellStyle name="Note 2 2 3 2 2 2 2" xfId="15913" xr:uid="{AF4B4DF3-BD36-4C52-ACB5-347BA9AC31FF}"/>
    <cellStyle name="Note 2 2 3 2 2 3" xfId="11695" xr:uid="{0DE4C654-87A1-4A4D-8879-EFEE6E7F5FAD}"/>
    <cellStyle name="Note 2 2 3 2 3" xfId="5318" xr:uid="{00000000-0005-0000-0000-0000C7200000}"/>
    <cellStyle name="Note 2 2 3 2 3 2" xfId="13768" xr:uid="{FC995C10-EC4A-4373-A1CC-F9C466742003}"/>
    <cellStyle name="Note 2 2 3 2 4" xfId="9550" xr:uid="{B9253E33-1DDE-4608-A13A-651675276F64}"/>
    <cellStyle name="Note 2 2 3 3" xfId="1424" xr:uid="{00000000-0005-0000-0000-0000C8200000}"/>
    <cellStyle name="Note 2 2 3 3 2" xfId="3654" xr:uid="{00000000-0005-0000-0000-0000C9200000}"/>
    <cellStyle name="Note 2 2 3 3 2 2" xfId="7876" xr:uid="{00000000-0005-0000-0000-0000CA200000}"/>
    <cellStyle name="Note 2 2 3 3 2 2 2" xfId="16326" xr:uid="{4D63BC1A-D5E7-4ACB-91FF-D2DC396B9524}"/>
    <cellStyle name="Note 2 2 3 3 2 3" xfId="12108" xr:uid="{9CD7921E-94CB-4368-8A94-59D59CB3CDD9}"/>
    <cellStyle name="Note 2 2 3 3 3" xfId="5731" xr:uid="{00000000-0005-0000-0000-0000CB200000}"/>
    <cellStyle name="Note 2 2 3 3 3 2" xfId="14181" xr:uid="{6E03F539-BC77-4D33-A187-9990B0C5BC17}"/>
    <cellStyle name="Note 2 2 3 3 4" xfId="9963" xr:uid="{0BC3F2FE-8075-4665-91A0-F9E5A2E63608}"/>
    <cellStyle name="Note 2 2 3 4" xfId="1838" xr:uid="{00000000-0005-0000-0000-0000CC200000}"/>
    <cellStyle name="Note 2 2 3 4 2" xfId="4067" xr:uid="{00000000-0005-0000-0000-0000CD200000}"/>
    <cellStyle name="Note 2 2 3 4 2 2" xfId="8289" xr:uid="{00000000-0005-0000-0000-0000CE200000}"/>
    <cellStyle name="Note 2 2 3 4 2 2 2" xfId="16739" xr:uid="{0AE450FA-1C2B-459E-A60F-D96FDA32FE05}"/>
    <cellStyle name="Note 2 2 3 4 2 3" xfId="12521" xr:uid="{CC192D7C-7448-4DAC-A880-174F0D330F30}"/>
    <cellStyle name="Note 2 2 3 4 3" xfId="6144" xr:uid="{00000000-0005-0000-0000-0000CF200000}"/>
    <cellStyle name="Note 2 2 3 4 3 2" xfId="14594" xr:uid="{E8402FEA-257A-45CD-AAC7-BF0FEAACBB5F}"/>
    <cellStyle name="Note 2 2 3 4 4" xfId="10376" xr:uid="{133F7147-81CB-4D01-8000-87219F460628}"/>
    <cellStyle name="Note 2 2 3 5" xfId="2251" xr:uid="{00000000-0005-0000-0000-0000D0200000}"/>
    <cellStyle name="Note 2 2 3 5 2" xfId="4480" xr:uid="{00000000-0005-0000-0000-0000D1200000}"/>
    <cellStyle name="Note 2 2 3 5 2 2" xfId="8702" xr:uid="{00000000-0005-0000-0000-0000D2200000}"/>
    <cellStyle name="Note 2 2 3 5 2 2 2" xfId="17152" xr:uid="{E71F1245-D756-4516-9CA5-57921D507FA6}"/>
    <cellStyle name="Note 2 2 3 5 2 3" xfId="12934" xr:uid="{28732821-69E7-45FA-B809-85BDFDE31B1D}"/>
    <cellStyle name="Note 2 2 3 5 3" xfId="6557" xr:uid="{00000000-0005-0000-0000-0000D3200000}"/>
    <cellStyle name="Note 2 2 3 5 3 2" xfId="15007" xr:uid="{E461BCE6-2A0A-402D-83E1-A2EF7846A991}"/>
    <cellStyle name="Note 2 2 3 5 4" xfId="10789" xr:uid="{2D253E4E-BE79-417B-BE2D-066C226D7AE0}"/>
    <cellStyle name="Note 2 2 3 6" xfId="2687" xr:uid="{00000000-0005-0000-0000-0000D4200000}"/>
    <cellStyle name="Note 2 2 3 6 2" xfId="6970" xr:uid="{00000000-0005-0000-0000-0000D5200000}"/>
    <cellStyle name="Note 2 2 3 6 2 2" xfId="15420" xr:uid="{01D5938E-2A04-411A-AA0B-D11DA25B69C5}"/>
    <cellStyle name="Note 2 2 3 6 3" xfId="11202" xr:uid="{3DA62D44-8CAD-4A76-BF9C-D5F79DF3999E}"/>
    <cellStyle name="Note 2 2 3 7" xfId="2746" xr:uid="{00000000-0005-0000-0000-0000D6200000}"/>
    <cellStyle name="Note 2 2 3 8" xfId="2827" xr:uid="{00000000-0005-0000-0000-0000D7200000}"/>
    <cellStyle name="Note 2 2 3 8 2" xfId="7050" xr:uid="{00000000-0005-0000-0000-0000D8200000}"/>
    <cellStyle name="Note 2 2 3 8 2 2" xfId="15500" xr:uid="{8932C133-D4A1-4C75-8293-92C7C9B6F052}"/>
    <cellStyle name="Note 2 2 3 8 3" xfId="11282" xr:uid="{21C5C13C-4298-4AE3-8A6C-B48C6CDEA2FC}"/>
    <cellStyle name="Note 2 2 3 9" xfId="4905" xr:uid="{00000000-0005-0000-0000-0000D9200000}"/>
    <cellStyle name="Note 2 2 3 9 2" xfId="13355" xr:uid="{D1BEB1D1-58B5-4341-93A8-D7F0A11566F6}"/>
    <cellStyle name="Note 2 2 4" xfId="1006" xr:uid="{00000000-0005-0000-0000-0000DA200000}"/>
    <cellStyle name="Note 2 2 4 2" xfId="3238" xr:uid="{00000000-0005-0000-0000-0000DB200000}"/>
    <cellStyle name="Note 2 2 4 2 2" xfId="7460" xr:uid="{00000000-0005-0000-0000-0000DC200000}"/>
    <cellStyle name="Note 2 2 4 2 2 2" xfId="15910" xr:uid="{C13FC5D7-5E37-436B-83E5-99A2280166CB}"/>
    <cellStyle name="Note 2 2 4 2 3" xfId="11692" xr:uid="{65F3614E-0F0A-4D69-A9FE-53AE31188B1F}"/>
    <cellStyle name="Note 2 2 4 3" xfId="5315" xr:uid="{00000000-0005-0000-0000-0000DD200000}"/>
    <cellStyle name="Note 2 2 4 3 2" xfId="13765" xr:uid="{F867CE56-ACE3-43C1-8E6B-1751FF895FA0}"/>
    <cellStyle name="Note 2 2 4 4" xfId="9547" xr:uid="{A67B63B1-F518-48FF-9533-D0AD4D78244D}"/>
    <cellStyle name="Note 2 2 5" xfId="1421" xr:uid="{00000000-0005-0000-0000-0000DE200000}"/>
    <cellStyle name="Note 2 2 5 2" xfId="3651" xr:uid="{00000000-0005-0000-0000-0000DF200000}"/>
    <cellStyle name="Note 2 2 5 2 2" xfId="7873" xr:uid="{00000000-0005-0000-0000-0000E0200000}"/>
    <cellStyle name="Note 2 2 5 2 2 2" xfId="16323" xr:uid="{F0A9099F-AD62-46C7-AE90-8DFDE78B09C8}"/>
    <cellStyle name="Note 2 2 5 2 3" xfId="12105" xr:uid="{FD7A4238-20E5-4ABF-AFE4-0E0F5B4FEF55}"/>
    <cellStyle name="Note 2 2 5 3" xfId="5728" xr:uid="{00000000-0005-0000-0000-0000E1200000}"/>
    <cellStyle name="Note 2 2 5 3 2" xfId="14178" xr:uid="{E789FCEF-65A0-4641-A119-ABEC7CFE725D}"/>
    <cellStyle name="Note 2 2 5 4" xfId="9960" xr:uid="{1426EBAF-4B7A-48C5-BBF7-E4BEA944B033}"/>
    <cellStyle name="Note 2 2 6" xfId="1835" xr:uid="{00000000-0005-0000-0000-0000E2200000}"/>
    <cellStyle name="Note 2 2 6 2" xfId="4064" xr:uid="{00000000-0005-0000-0000-0000E3200000}"/>
    <cellStyle name="Note 2 2 6 2 2" xfId="8286" xr:uid="{00000000-0005-0000-0000-0000E4200000}"/>
    <cellStyle name="Note 2 2 6 2 2 2" xfId="16736" xr:uid="{F62CD648-6ABB-4F0A-8BD8-325EBFFBAA55}"/>
    <cellStyle name="Note 2 2 6 2 3" xfId="12518" xr:uid="{4B2E2156-50AB-4513-A1CD-7174DA51044B}"/>
    <cellStyle name="Note 2 2 6 3" xfId="6141" xr:uid="{00000000-0005-0000-0000-0000E5200000}"/>
    <cellStyle name="Note 2 2 6 3 2" xfId="14591" xr:uid="{9D6661C4-C52B-41D5-B19E-23D1F4AB0338}"/>
    <cellStyle name="Note 2 2 6 4" xfId="10373" xr:uid="{748EDC31-36FD-43A7-BE22-A5604D5BBAC0}"/>
    <cellStyle name="Note 2 2 7" xfId="2248" xr:uid="{00000000-0005-0000-0000-0000E6200000}"/>
    <cellStyle name="Note 2 2 7 2" xfId="4477" xr:uid="{00000000-0005-0000-0000-0000E7200000}"/>
    <cellStyle name="Note 2 2 7 2 2" xfId="8699" xr:uid="{00000000-0005-0000-0000-0000E8200000}"/>
    <cellStyle name="Note 2 2 7 2 2 2" xfId="17149" xr:uid="{CD195B3F-ABA8-48E2-81BD-6647005EFC17}"/>
    <cellStyle name="Note 2 2 7 2 3" xfId="12931" xr:uid="{D477E832-B347-4C0E-A14B-8B05711628A8}"/>
    <cellStyle name="Note 2 2 7 3" xfId="6554" xr:uid="{00000000-0005-0000-0000-0000E9200000}"/>
    <cellStyle name="Note 2 2 7 3 2" xfId="15004" xr:uid="{812C0CA2-D211-46DF-8A86-F336289CAD91}"/>
    <cellStyle name="Note 2 2 7 4" xfId="10786" xr:uid="{8841772E-F7BA-4C36-9E7A-7A67394FDF2A}"/>
    <cellStyle name="Note 2 2 8" xfId="2684" xr:uid="{00000000-0005-0000-0000-0000EA200000}"/>
    <cellStyle name="Note 2 2 8 2" xfId="6967" xr:uid="{00000000-0005-0000-0000-0000EB200000}"/>
    <cellStyle name="Note 2 2 8 2 2" xfId="15417" xr:uid="{BC68FCCB-3266-4591-A5C4-9139C651EECD}"/>
    <cellStyle name="Note 2 2 8 3" xfId="11199" xr:uid="{91833BE0-CF82-4B8B-85CA-6F10D89C7CD1}"/>
    <cellStyle name="Note 2 2 9" xfId="2743" xr:uid="{00000000-0005-0000-0000-0000EC200000}"/>
    <cellStyle name="Note 2 3" xfId="549" xr:uid="{00000000-0005-0000-0000-0000ED200000}"/>
    <cellStyle name="Note 2 3 10" xfId="4906" xr:uid="{00000000-0005-0000-0000-0000EE200000}"/>
    <cellStyle name="Note 2 3 10 2" xfId="13356" xr:uid="{FF2BAB60-B993-4FB9-9044-32A093A456BF}"/>
    <cellStyle name="Note 2 3 11" xfId="9138" xr:uid="{34EA2C53-E98D-4A61-BF85-8B83AA382051}"/>
    <cellStyle name="Note 2 3 2" xfId="550" xr:uid="{00000000-0005-0000-0000-0000EF200000}"/>
    <cellStyle name="Note 2 3 2 10" xfId="9139" xr:uid="{0F44895B-3ADB-44CF-8608-F17CCA6A5A2A}"/>
    <cellStyle name="Note 2 3 2 2" xfId="1011" xr:uid="{00000000-0005-0000-0000-0000F0200000}"/>
    <cellStyle name="Note 2 3 2 2 2" xfId="3243" xr:uid="{00000000-0005-0000-0000-0000F1200000}"/>
    <cellStyle name="Note 2 3 2 2 2 2" xfId="7465" xr:uid="{00000000-0005-0000-0000-0000F2200000}"/>
    <cellStyle name="Note 2 3 2 2 2 2 2" xfId="15915" xr:uid="{B5406687-9871-4313-A166-33F6DB02A1F9}"/>
    <cellStyle name="Note 2 3 2 2 2 3" xfId="11697" xr:uid="{3B2B7415-AC9D-4DD3-BB3A-32FD7AE4C657}"/>
    <cellStyle name="Note 2 3 2 2 3" xfId="5320" xr:uid="{00000000-0005-0000-0000-0000F3200000}"/>
    <cellStyle name="Note 2 3 2 2 3 2" xfId="13770" xr:uid="{D214D281-044D-4950-8707-04EC9DE94995}"/>
    <cellStyle name="Note 2 3 2 2 4" xfId="9552" xr:uid="{626BFBF3-332E-43D3-B3E5-F4192222638E}"/>
    <cellStyle name="Note 2 3 2 3" xfId="1426" xr:uid="{00000000-0005-0000-0000-0000F4200000}"/>
    <cellStyle name="Note 2 3 2 3 2" xfId="3656" xr:uid="{00000000-0005-0000-0000-0000F5200000}"/>
    <cellStyle name="Note 2 3 2 3 2 2" xfId="7878" xr:uid="{00000000-0005-0000-0000-0000F6200000}"/>
    <cellStyle name="Note 2 3 2 3 2 2 2" xfId="16328" xr:uid="{05E226C4-ED5F-4713-8EB5-3C399B5C6064}"/>
    <cellStyle name="Note 2 3 2 3 2 3" xfId="12110" xr:uid="{5CE71B68-F5D7-4010-8BD5-42795B8884CC}"/>
    <cellStyle name="Note 2 3 2 3 3" xfId="5733" xr:uid="{00000000-0005-0000-0000-0000F7200000}"/>
    <cellStyle name="Note 2 3 2 3 3 2" xfId="14183" xr:uid="{5AE13B89-9EE2-485B-B202-8A3971C778C5}"/>
    <cellStyle name="Note 2 3 2 3 4" xfId="9965" xr:uid="{4E55E049-0AD8-4DF8-B4CD-2BE9E142983E}"/>
    <cellStyle name="Note 2 3 2 4" xfId="1840" xr:uid="{00000000-0005-0000-0000-0000F8200000}"/>
    <cellStyle name="Note 2 3 2 4 2" xfId="4069" xr:uid="{00000000-0005-0000-0000-0000F9200000}"/>
    <cellStyle name="Note 2 3 2 4 2 2" xfId="8291" xr:uid="{00000000-0005-0000-0000-0000FA200000}"/>
    <cellStyle name="Note 2 3 2 4 2 2 2" xfId="16741" xr:uid="{7825ACFB-67AB-4846-978C-F9A5B9F5268E}"/>
    <cellStyle name="Note 2 3 2 4 2 3" xfId="12523" xr:uid="{ADF63E00-26C6-41D6-B15B-30AADA537CDE}"/>
    <cellStyle name="Note 2 3 2 4 3" xfId="6146" xr:uid="{00000000-0005-0000-0000-0000FB200000}"/>
    <cellStyle name="Note 2 3 2 4 3 2" xfId="14596" xr:uid="{DBE56FE9-BA03-477B-A7AC-8926FE435852}"/>
    <cellStyle name="Note 2 3 2 4 4" xfId="10378" xr:uid="{6A014C88-E2CA-4AF5-9F3F-3FF2C6D5C492}"/>
    <cellStyle name="Note 2 3 2 5" xfId="2253" xr:uid="{00000000-0005-0000-0000-0000FC200000}"/>
    <cellStyle name="Note 2 3 2 5 2" xfId="4482" xr:uid="{00000000-0005-0000-0000-0000FD200000}"/>
    <cellStyle name="Note 2 3 2 5 2 2" xfId="8704" xr:uid="{00000000-0005-0000-0000-0000FE200000}"/>
    <cellStyle name="Note 2 3 2 5 2 2 2" xfId="17154" xr:uid="{4F7478F5-F096-4A7F-9B43-F7A3A72F4176}"/>
    <cellStyle name="Note 2 3 2 5 2 3" xfId="12936" xr:uid="{D6B9B323-3EBB-47EB-989C-687CD4EE9CBC}"/>
    <cellStyle name="Note 2 3 2 5 3" xfId="6559" xr:uid="{00000000-0005-0000-0000-0000FF200000}"/>
    <cellStyle name="Note 2 3 2 5 3 2" xfId="15009" xr:uid="{51319976-A2DF-4949-8C3B-4CA120DE6A89}"/>
    <cellStyle name="Note 2 3 2 5 4" xfId="10791" xr:uid="{89D71952-1B37-473F-85F1-D4FCEC167474}"/>
    <cellStyle name="Note 2 3 2 6" xfId="2689" xr:uid="{00000000-0005-0000-0000-000000210000}"/>
    <cellStyle name="Note 2 3 2 6 2" xfId="6972" xr:uid="{00000000-0005-0000-0000-000001210000}"/>
    <cellStyle name="Note 2 3 2 6 2 2" xfId="15422" xr:uid="{81CDA3F0-6ACE-4B27-ACE8-0CE6D742B876}"/>
    <cellStyle name="Note 2 3 2 6 3" xfId="11204" xr:uid="{640220D8-731A-499B-81C9-376C793A51B2}"/>
    <cellStyle name="Note 2 3 2 7" xfId="2748" xr:uid="{00000000-0005-0000-0000-000002210000}"/>
    <cellStyle name="Note 2 3 2 8" xfId="2829" xr:uid="{00000000-0005-0000-0000-000003210000}"/>
    <cellStyle name="Note 2 3 2 8 2" xfId="7052" xr:uid="{00000000-0005-0000-0000-000004210000}"/>
    <cellStyle name="Note 2 3 2 8 2 2" xfId="15502" xr:uid="{50CA0D4A-0D31-4B10-8759-6B6574D4A4D3}"/>
    <cellStyle name="Note 2 3 2 8 3" xfId="11284" xr:uid="{1658E224-FB3F-4F75-AA92-892D71CBD461}"/>
    <cellStyle name="Note 2 3 2 9" xfId="4907" xr:uid="{00000000-0005-0000-0000-000005210000}"/>
    <cellStyle name="Note 2 3 2 9 2" xfId="13357" xr:uid="{C0876CD5-AC91-49B4-BB3D-BA02B9BD35CD}"/>
    <cellStyle name="Note 2 3 3" xfId="1010" xr:uid="{00000000-0005-0000-0000-000006210000}"/>
    <cellStyle name="Note 2 3 3 2" xfId="3242" xr:uid="{00000000-0005-0000-0000-000007210000}"/>
    <cellStyle name="Note 2 3 3 2 2" xfId="7464" xr:uid="{00000000-0005-0000-0000-000008210000}"/>
    <cellStyle name="Note 2 3 3 2 2 2" xfId="15914" xr:uid="{C7F6B663-EFB2-4AD7-9459-FEE88A569B02}"/>
    <cellStyle name="Note 2 3 3 2 3" xfId="11696" xr:uid="{8524191C-0C5C-445E-85BC-D1404D243965}"/>
    <cellStyle name="Note 2 3 3 3" xfId="5319" xr:uid="{00000000-0005-0000-0000-000009210000}"/>
    <cellStyle name="Note 2 3 3 3 2" xfId="13769" xr:uid="{8AEE8158-9722-4721-9F88-29F3DFE6B915}"/>
    <cellStyle name="Note 2 3 3 4" xfId="9551" xr:uid="{57CEBD46-F9D3-4E1B-858A-B07ECD2B31AC}"/>
    <cellStyle name="Note 2 3 4" xfId="1425" xr:uid="{00000000-0005-0000-0000-00000A210000}"/>
    <cellStyle name="Note 2 3 4 2" xfId="3655" xr:uid="{00000000-0005-0000-0000-00000B210000}"/>
    <cellStyle name="Note 2 3 4 2 2" xfId="7877" xr:uid="{00000000-0005-0000-0000-00000C210000}"/>
    <cellStyle name="Note 2 3 4 2 2 2" xfId="16327" xr:uid="{02E23198-3E49-4DAC-A27C-A4E81C1288E4}"/>
    <cellStyle name="Note 2 3 4 2 3" xfId="12109" xr:uid="{D5B65D64-0AC4-4D69-95DA-E54A1739D583}"/>
    <cellStyle name="Note 2 3 4 3" xfId="5732" xr:uid="{00000000-0005-0000-0000-00000D210000}"/>
    <cellStyle name="Note 2 3 4 3 2" xfId="14182" xr:uid="{E2E5AE7D-7BBB-4609-95A7-EB8F693A70C2}"/>
    <cellStyle name="Note 2 3 4 4" xfId="9964" xr:uid="{A6E5F0FE-5ADE-41E3-86D4-95318C2464CD}"/>
    <cellStyle name="Note 2 3 5" xfId="1839" xr:uid="{00000000-0005-0000-0000-00000E210000}"/>
    <cellStyle name="Note 2 3 5 2" xfId="4068" xr:uid="{00000000-0005-0000-0000-00000F210000}"/>
    <cellStyle name="Note 2 3 5 2 2" xfId="8290" xr:uid="{00000000-0005-0000-0000-000010210000}"/>
    <cellStyle name="Note 2 3 5 2 2 2" xfId="16740" xr:uid="{8F6D689E-34CC-4026-A9F0-57CF9D47E402}"/>
    <cellStyle name="Note 2 3 5 2 3" xfId="12522" xr:uid="{8071A070-ECF8-4A80-B58B-CC51F4E6A56A}"/>
    <cellStyle name="Note 2 3 5 3" xfId="6145" xr:uid="{00000000-0005-0000-0000-000011210000}"/>
    <cellStyle name="Note 2 3 5 3 2" xfId="14595" xr:uid="{F588D2BC-40FF-40F3-97A4-6C4CC14BF734}"/>
    <cellStyle name="Note 2 3 5 4" xfId="10377" xr:uid="{C84CFD3F-ECDC-432F-A47A-B0DB1102E577}"/>
    <cellStyle name="Note 2 3 6" xfId="2252" xr:uid="{00000000-0005-0000-0000-000012210000}"/>
    <cellStyle name="Note 2 3 6 2" xfId="4481" xr:uid="{00000000-0005-0000-0000-000013210000}"/>
    <cellStyle name="Note 2 3 6 2 2" xfId="8703" xr:uid="{00000000-0005-0000-0000-000014210000}"/>
    <cellStyle name="Note 2 3 6 2 2 2" xfId="17153" xr:uid="{37EBC794-3E45-4F07-A15C-446A98A7EF5F}"/>
    <cellStyle name="Note 2 3 6 2 3" xfId="12935" xr:uid="{2AB0B3D7-E580-429C-8254-466EB20AC0B7}"/>
    <cellStyle name="Note 2 3 6 3" xfId="6558" xr:uid="{00000000-0005-0000-0000-000015210000}"/>
    <cellStyle name="Note 2 3 6 3 2" xfId="15008" xr:uid="{33751429-7C8C-4801-8F52-5B3608F9CD09}"/>
    <cellStyle name="Note 2 3 6 4" xfId="10790" xr:uid="{7E01527B-24BF-424E-9B84-2EC47E146896}"/>
    <cellStyle name="Note 2 3 7" xfId="2688" xr:uid="{00000000-0005-0000-0000-000016210000}"/>
    <cellStyle name="Note 2 3 7 2" xfId="6971" xr:uid="{00000000-0005-0000-0000-000017210000}"/>
    <cellStyle name="Note 2 3 7 2 2" xfId="15421" xr:uid="{C6EB453E-E1C9-49F3-8A43-36B7155B53A7}"/>
    <cellStyle name="Note 2 3 7 3" xfId="11203" xr:uid="{8E799430-0A69-47F1-976C-A5FF34313FB9}"/>
    <cellStyle name="Note 2 3 8" xfId="2747" xr:uid="{00000000-0005-0000-0000-000018210000}"/>
    <cellStyle name="Note 2 3 9" xfId="2828" xr:uid="{00000000-0005-0000-0000-000019210000}"/>
    <cellStyle name="Note 2 3 9 2" xfId="7051" xr:uid="{00000000-0005-0000-0000-00001A210000}"/>
    <cellStyle name="Note 2 3 9 2 2" xfId="15501" xr:uid="{45EFDD1B-6D45-48F9-836A-15F1FC555F24}"/>
    <cellStyle name="Note 2 3 9 3" xfId="11283" xr:uid="{C4AB719F-867A-4F54-9453-F7EAF0CF7DA8}"/>
    <cellStyle name="Note 2 4" xfId="551" xr:uid="{00000000-0005-0000-0000-00001B210000}"/>
    <cellStyle name="Note 2 4 10" xfId="9140" xr:uid="{DFEEF3AB-BA75-4AAC-B67C-E26C3754017A}"/>
    <cellStyle name="Note 2 4 2" xfId="1012" xr:uid="{00000000-0005-0000-0000-00001C210000}"/>
    <cellStyle name="Note 2 4 2 2" xfId="3244" xr:uid="{00000000-0005-0000-0000-00001D210000}"/>
    <cellStyle name="Note 2 4 2 2 2" xfId="7466" xr:uid="{00000000-0005-0000-0000-00001E210000}"/>
    <cellStyle name="Note 2 4 2 2 2 2" xfId="15916" xr:uid="{B0932679-CD69-4D74-9D3C-0CFB4106B69F}"/>
    <cellStyle name="Note 2 4 2 2 3" xfId="11698" xr:uid="{AE327F71-0154-4260-91C1-D032D47A0266}"/>
    <cellStyle name="Note 2 4 2 3" xfId="5321" xr:uid="{00000000-0005-0000-0000-00001F210000}"/>
    <cellStyle name="Note 2 4 2 3 2" xfId="13771" xr:uid="{95FE6A56-3AA2-4269-AEA9-31677326A2D2}"/>
    <cellStyle name="Note 2 4 2 4" xfId="9553" xr:uid="{4DE119B9-89AD-4D63-9627-15315AA66E5B}"/>
    <cellStyle name="Note 2 4 3" xfId="1427" xr:uid="{00000000-0005-0000-0000-000020210000}"/>
    <cellStyle name="Note 2 4 3 2" xfId="3657" xr:uid="{00000000-0005-0000-0000-000021210000}"/>
    <cellStyle name="Note 2 4 3 2 2" xfId="7879" xr:uid="{00000000-0005-0000-0000-000022210000}"/>
    <cellStyle name="Note 2 4 3 2 2 2" xfId="16329" xr:uid="{8CBB7DE5-FD08-4018-8EF2-E5DE46A998F0}"/>
    <cellStyle name="Note 2 4 3 2 3" xfId="12111" xr:uid="{748AB62C-5BA0-4A68-8C86-DEA9514C6C96}"/>
    <cellStyle name="Note 2 4 3 3" xfId="5734" xr:uid="{00000000-0005-0000-0000-000023210000}"/>
    <cellStyle name="Note 2 4 3 3 2" xfId="14184" xr:uid="{46C97DC9-1356-4622-B804-5F4515516AD6}"/>
    <cellStyle name="Note 2 4 3 4" xfId="9966" xr:uid="{F933DF12-6315-46E7-AE1C-28611D8E9420}"/>
    <cellStyle name="Note 2 4 4" xfId="1841" xr:uid="{00000000-0005-0000-0000-000024210000}"/>
    <cellStyle name="Note 2 4 4 2" xfId="4070" xr:uid="{00000000-0005-0000-0000-000025210000}"/>
    <cellStyle name="Note 2 4 4 2 2" xfId="8292" xr:uid="{00000000-0005-0000-0000-000026210000}"/>
    <cellStyle name="Note 2 4 4 2 2 2" xfId="16742" xr:uid="{26948547-9FEC-43B5-97F3-A996D0493B2E}"/>
    <cellStyle name="Note 2 4 4 2 3" xfId="12524" xr:uid="{0BE2E995-2B2B-487A-AF6E-614A18BCE94E}"/>
    <cellStyle name="Note 2 4 4 3" xfId="6147" xr:uid="{00000000-0005-0000-0000-000027210000}"/>
    <cellStyle name="Note 2 4 4 3 2" xfId="14597" xr:uid="{CCC5016C-0683-4B35-8BF3-2F4752DCBCEB}"/>
    <cellStyle name="Note 2 4 4 4" xfId="10379" xr:uid="{E653B53E-F6F8-4323-BCA8-137D1B8DC7FC}"/>
    <cellStyle name="Note 2 4 5" xfId="2254" xr:uid="{00000000-0005-0000-0000-000028210000}"/>
    <cellStyle name="Note 2 4 5 2" xfId="4483" xr:uid="{00000000-0005-0000-0000-000029210000}"/>
    <cellStyle name="Note 2 4 5 2 2" xfId="8705" xr:uid="{00000000-0005-0000-0000-00002A210000}"/>
    <cellStyle name="Note 2 4 5 2 2 2" xfId="17155" xr:uid="{1088B3CA-F949-40EF-85E3-B7EEAD3B6FA9}"/>
    <cellStyle name="Note 2 4 5 2 3" xfId="12937" xr:uid="{F2020C02-4828-4BC1-B75B-FD8FC7071DFC}"/>
    <cellStyle name="Note 2 4 5 3" xfId="6560" xr:uid="{00000000-0005-0000-0000-00002B210000}"/>
    <cellStyle name="Note 2 4 5 3 2" xfId="15010" xr:uid="{B12EC15D-CF4F-4141-998B-38CEC830B736}"/>
    <cellStyle name="Note 2 4 5 4" xfId="10792" xr:uid="{AA547DF1-7CF8-4C0C-AF8A-FDEEE74D0A66}"/>
    <cellStyle name="Note 2 4 6" xfId="2690" xr:uid="{00000000-0005-0000-0000-00002C210000}"/>
    <cellStyle name="Note 2 4 6 2" xfId="6973" xr:uid="{00000000-0005-0000-0000-00002D210000}"/>
    <cellStyle name="Note 2 4 6 2 2" xfId="15423" xr:uid="{ADD8060A-E0FF-419D-8F66-59128843A258}"/>
    <cellStyle name="Note 2 4 6 3" xfId="11205" xr:uid="{5CE35DBF-459D-4667-8241-FB5F75F1B1B5}"/>
    <cellStyle name="Note 2 4 7" xfId="2749" xr:uid="{00000000-0005-0000-0000-00002E210000}"/>
    <cellStyle name="Note 2 4 8" xfId="2830" xr:uid="{00000000-0005-0000-0000-00002F210000}"/>
    <cellStyle name="Note 2 4 8 2" xfId="7053" xr:uid="{00000000-0005-0000-0000-000030210000}"/>
    <cellStyle name="Note 2 4 8 2 2" xfId="15503" xr:uid="{F09F3940-56CA-4A39-913D-7DABCA695770}"/>
    <cellStyle name="Note 2 4 8 3" xfId="11285" xr:uid="{8A238AA6-8D7E-4220-A37B-6A3F8EB6FE5B}"/>
    <cellStyle name="Note 2 4 9" xfId="4908" xr:uid="{00000000-0005-0000-0000-000031210000}"/>
    <cellStyle name="Note 2 4 9 2" xfId="13358" xr:uid="{2A8B6941-61F3-4D10-8026-DA0FF9511757}"/>
    <cellStyle name="Note 2 5" xfId="552" xr:uid="{00000000-0005-0000-0000-000032210000}"/>
    <cellStyle name="Note 2 5 10" xfId="9141" xr:uid="{0358DD27-3BBE-4667-BF80-D14F3C3440A4}"/>
    <cellStyle name="Note 2 5 2" xfId="1013" xr:uid="{00000000-0005-0000-0000-000033210000}"/>
    <cellStyle name="Note 2 5 2 2" xfId="3245" xr:uid="{00000000-0005-0000-0000-000034210000}"/>
    <cellStyle name="Note 2 5 2 2 2" xfId="7467" xr:uid="{00000000-0005-0000-0000-000035210000}"/>
    <cellStyle name="Note 2 5 2 2 2 2" xfId="15917" xr:uid="{C7EC0821-32CC-43B1-AEEB-14F706EE2E8F}"/>
    <cellStyle name="Note 2 5 2 2 3" xfId="11699" xr:uid="{C0558BCA-F29B-4B17-B28A-4412C0A59B16}"/>
    <cellStyle name="Note 2 5 2 3" xfId="5322" xr:uid="{00000000-0005-0000-0000-000036210000}"/>
    <cellStyle name="Note 2 5 2 3 2" xfId="13772" xr:uid="{BCB2DF31-1FD8-4B0C-BBF0-65292DFDADF4}"/>
    <cellStyle name="Note 2 5 2 4" xfId="9554" xr:uid="{36065DDB-4F70-4044-945F-707CD17E6D48}"/>
    <cellStyle name="Note 2 5 3" xfId="1428" xr:uid="{00000000-0005-0000-0000-000037210000}"/>
    <cellStyle name="Note 2 5 3 2" xfId="3658" xr:uid="{00000000-0005-0000-0000-000038210000}"/>
    <cellStyle name="Note 2 5 3 2 2" xfId="7880" xr:uid="{00000000-0005-0000-0000-000039210000}"/>
    <cellStyle name="Note 2 5 3 2 2 2" xfId="16330" xr:uid="{CCC946F7-7AFD-49AE-97E5-51F12949AE37}"/>
    <cellStyle name="Note 2 5 3 2 3" xfId="12112" xr:uid="{89C974CB-BB98-4B7C-A6FF-D45506BFFA0B}"/>
    <cellStyle name="Note 2 5 3 3" xfId="5735" xr:uid="{00000000-0005-0000-0000-00003A210000}"/>
    <cellStyle name="Note 2 5 3 3 2" xfId="14185" xr:uid="{D25E30F3-2453-40E8-94F9-615446F73904}"/>
    <cellStyle name="Note 2 5 3 4" xfId="9967" xr:uid="{B4D4398D-B58F-403E-B2D8-BAEA14E2CF27}"/>
    <cellStyle name="Note 2 5 4" xfId="1842" xr:uid="{00000000-0005-0000-0000-00003B210000}"/>
    <cellStyle name="Note 2 5 4 2" xfId="4071" xr:uid="{00000000-0005-0000-0000-00003C210000}"/>
    <cellStyle name="Note 2 5 4 2 2" xfId="8293" xr:uid="{00000000-0005-0000-0000-00003D210000}"/>
    <cellStyle name="Note 2 5 4 2 2 2" xfId="16743" xr:uid="{4937104D-D09E-44FF-8527-C817BB9DAE74}"/>
    <cellStyle name="Note 2 5 4 2 3" xfId="12525" xr:uid="{4E618195-1271-4FE7-8046-C5760492D5E6}"/>
    <cellStyle name="Note 2 5 4 3" xfId="6148" xr:uid="{00000000-0005-0000-0000-00003E210000}"/>
    <cellStyle name="Note 2 5 4 3 2" xfId="14598" xr:uid="{33067B9D-17A0-4340-AAB4-9137C425A98E}"/>
    <cellStyle name="Note 2 5 4 4" xfId="10380" xr:uid="{E16FD09D-D09C-4BA9-AFA7-FEA93A68DDFE}"/>
    <cellStyle name="Note 2 5 5" xfId="2255" xr:uid="{00000000-0005-0000-0000-00003F210000}"/>
    <cellStyle name="Note 2 5 5 2" xfId="4484" xr:uid="{00000000-0005-0000-0000-000040210000}"/>
    <cellStyle name="Note 2 5 5 2 2" xfId="8706" xr:uid="{00000000-0005-0000-0000-000041210000}"/>
    <cellStyle name="Note 2 5 5 2 2 2" xfId="17156" xr:uid="{34978581-305C-478E-95BA-29B51E0638EA}"/>
    <cellStyle name="Note 2 5 5 2 3" xfId="12938" xr:uid="{9F7D02DF-FDBB-48DB-9042-AD84A7C25853}"/>
    <cellStyle name="Note 2 5 5 3" xfId="6561" xr:uid="{00000000-0005-0000-0000-000042210000}"/>
    <cellStyle name="Note 2 5 5 3 2" xfId="15011" xr:uid="{17ECBAEE-D409-4F54-839C-AA6135C02FDF}"/>
    <cellStyle name="Note 2 5 5 4" xfId="10793" xr:uid="{88AA1D0E-C161-4455-8C66-F8F2F577DB5A}"/>
    <cellStyle name="Note 2 5 6" xfId="2691" xr:uid="{00000000-0005-0000-0000-000043210000}"/>
    <cellStyle name="Note 2 5 6 2" xfId="6974" xr:uid="{00000000-0005-0000-0000-000044210000}"/>
    <cellStyle name="Note 2 5 6 2 2" xfId="15424" xr:uid="{9FA9A8C6-22AA-4238-8F58-57F52957B59A}"/>
    <cellStyle name="Note 2 5 6 3" xfId="11206" xr:uid="{A5BA1B0B-17A8-4A71-A397-B965E7797A08}"/>
    <cellStyle name="Note 2 5 7" xfId="2750" xr:uid="{00000000-0005-0000-0000-000045210000}"/>
    <cellStyle name="Note 2 5 8" xfId="2831" xr:uid="{00000000-0005-0000-0000-000046210000}"/>
    <cellStyle name="Note 2 5 8 2" xfId="7054" xr:uid="{00000000-0005-0000-0000-000047210000}"/>
    <cellStyle name="Note 2 5 8 2 2" xfId="15504" xr:uid="{CFC2ADA8-243C-47E5-8F8E-66CE2B7BD07E}"/>
    <cellStyle name="Note 2 5 8 3" xfId="11286" xr:uid="{0530CCC0-7008-486A-96D6-D3995A923982}"/>
    <cellStyle name="Note 2 5 9" xfId="4909" xr:uid="{00000000-0005-0000-0000-000048210000}"/>
    <cellStyle name="Note 2 5 9 2" xfId="13359" xr:uid="{11180943-A582-4141-B91A-2598505B1A1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F9D4D7B4-1678-4EB0-8821-96A2F039A1D8}"/>
    <cellStyle name="Note 3 2 10 3" xfId="11287" xr:uid="{8784ACC0-CA73-41A0-BD53-F4B774BF6DA4}"/>
    <cellStyle name="Note 3 2 11" xfId="4910" xr:uid="{00000000-0005-0000-0000-00004D210000}"/>
    <cellStyle name="Note 3 2 11 2" xfId="13360" xr:uid="{769F91C3-7566-4B79-A5AB-9811983AE25C}"/>
    <cellStyle name="Note 3 2 12" xfId="9142" xr:uid="{7431BB28-E137-4781-BC74-3113A66CF7B2}"/>
    <cellStyle name="Note 3 2 2" xfId="555" xr:uid="{00000000-0005-0000-0000-00004E210000}"/>
    <cellStyle name="Note 3 2 2 10" xfId="4911" xr:uid="{00000000-0005-0000-0000-00004F210000}"/>
    <cellStyle name="Note 3 2 2 10 2" xfId="13361" xr:uid="{6C0199F8-C0DD-4210-84A6-D871411E4617}"/>
    <cellStyle name="Note 3 2 2 11" xfId="9143" xr:uid="{E029172F-9749-41D6-9510-22E2D3762232}"/>
    <cellStyle name="Note 3 2 2 2" xfId="556" xr:uid="{00000000-0005-0000-0000-000050210000}"/>
    <cellStyle name="Note 3 2 2 2 10" xfId="9144" xr:uid="{C31501C7-B764-4D67-B4CB-68648BBFCD15}"/>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2B3B4F6E-B7BE-4412-BF71-88E24CCDDDA6}"/>
    <cellStyle name="Note 3 2 2 2 2 2 3" xfId="11702" xr:uid="{25B71712-5942-440F-BD0F-3E767C8279D0}"/>
    <cellStyle name="Note 3 2 2 2 2 3" xfId="5325" xr:uid="{00000000-0005-0000-0000-000054210000}"/>
    <cellStyle name="Note 3 2 2 2 2 3 2" xfId="13775" xr:uid="{7F121E11-F6A3-4EB7-9C3D-91397FD7522B}"/>
    <cellStyle name="Note 3 2 2 2 2 4" xfId="9557" xr:uid="{CBC31952-A026-4782-B2D7-608E1A1A1D8C}"/>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3035260C-E1CB-43B8-B1CB-60FC75FDEE6D}"/>
    <cellStyle name="Note 3 2 2 2 3 2 3" xfId="12115" xr:uid="{BE5B6E3E-2729-40E7-9E52-CC462D409E1E}"/>
    <cellStyle name="Note 3 2 2 2 3 3" xfId="5738" xr:uid="{00000000-0005-0000-0000-000058210000}"/>
    <cellStyle name="Note 3 2 2 2 3 3 2" xfId="14188" xr:uid="{607B5944-F4B0-461B-8693-AAE1580247AB}"/>
    <cellStyle name="Note 3 2 2 2 3 4" xfId="9970" xr:uid="{7D454351-7499-4FC4-8683-B36F04F753E2}"/>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7AEAC894-DC21-4259-B8CA-9DF59446CAAC}"/>
    <cellStyle name="Note 3 2 2 2 4 2 3" xfId="12528" xr:uid="{CD74DA67-9853-4820-A6AF-E144C9009207}"/>
    <cellStyle name="Note 3 2 2 2 4 3" xfId="6151" xr:uid="{00000000-0005-0000-0000-00005C210000}"/>
    <cellStyle name="Note 3 2 2 2 4 3 2" xfId="14601" xr:uid="{A678E676-E58F-41A2-A1B9-74F192E88CB1}"/>
    <cellStyle name="Note 3 2 2 2 4 4" xfId="10383" xr:uid="{9848E0BE-9632-4451-B310-3DC2CD5657D0}"/>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4D951BA7-B1A3-4BD0-95E1-0E57B66C3359}"/>
    <cellStyle name="Note 3 2 2 2 5 2 3" xfId="12941" xr:uid="{2449B52C-D6A1-4E50-86B7-F4CA1D888541}"/>
    <cellStyle name="Note 3 2 2 2 5 3" xfId="6564" xr:uid="{00000000-0005-0000-0000-000060210000}"/>
    <cellStyle name="Note 3 2 2 2 5 3 2" xfId="15014" xr:uid="{E10BFCAE-9A09-4B28-987C-D3A4E5BD1DB1}"/>
    <cellStyle name="Note 3 2 2 2 5 4" xfId="10796" xr:uid="{A503739E-F051-4EC0-B683-B291C06B2F05}"/>
    <cellStyle name="Note 3 2 2 2 6" xfId="2694" xr:uid="{00000000-0005-0000-0000-000061210000}"/>
    <cellStyle name="Note 3 2 2 2 6 2" xfId="6977" xr:uid="{00000000-0005-0000-0000-000062210000}"/>
    <cellStyle name="Note 3 2 2 2 6 2 2" xfId="15427" xr:uid="{4BDB1088-5834-449A-92E8-8436631DFC0E}"/>
    <cellStyle name="Note 3 2 2 2 6 3" xfId="11209" xr:uid="{8DF36D6E-8E73-438E-AFF8-ABCC281069AF}"/>
    <cellStyle name="Note 3 2 2 2 7" xfId="2753" xr:uid="{00000000-0005-0000-0000-000063210000}"/>
    <cellStyle name="Note 3 2 2 2 8" xfId="2834" xr:uid="{00000000-0005-0000-0000-000064210000}"/>
    <cellStyle name="Note 3 2 2 2 8 2" xfId="7057" xr:uid="{00000000-0005-0000-0000-000065210000}"/>
    <cellStyle name="Note 3 2 2 2 8 2 2" xfId="15507" xr:uid="{C6F8BC16-F20E-4FC6-B27E-AE0ECA8BE78D}"/>
    <cellStyle name="Note 3 2 2 2 8 3" xfId="11289" xr:uid="{11E314C8-2BC0-4A86-9F18-184E84B4635B}"/>
    <cellStyle name="Note 3 2 2 2 9" xfId="4912" xr:uid="{00000000-0005-0000-0000-000066210000}"/>
    <cellStyle name="Note 3 2 2 2 9 2" xfId="13362" xr:uid="{BDABBF1E-B28A-47B6-A938-D3A79623FF9E}"/>
    <cellStyle name="Note 3 2 2 3" xfId="1015" xr:uid="{00000000-0005-0000-0000-000067210000}"/>
    <cellStyle name="Note 3 2 2 3 2" xfId="3247" xr:uid="{00000000-0005-0000-0000-000068210000}"/>
    <cellStyle name="Note 3 2 2 3 2 2" xfId="7469" xr:uid="{00000000-0005-0000-0000-000069210000}"/>
    <cellStyle name="Note 3 2 2 3 2 2 2" xfId="15919" xr:uid="{33C7A772-5B0A-47BD-A2A5-C1BF00854CE1}"/>
    <cellStyle name="Note 3 2 2 3 2 3" xfId="11701" xr:uid="{65F5C407-EA25-4856-833A-9151674C0A3B}"/>
    <cellStyle name="Note 3 2 2 3 3" xfId="5324" xr:uid="{00000000-0005-0000-0000-00006A210000}"/>
    <cellStyle name="Note 3 2 2 3 3 2" xfId="13774" xr:uid="{8B96AA52-F2E2-4DED-B372-63719C38E4E7}"/>
    <cellStyle name="Note 3 2 2 3 4" xfId="9556" xr:uid="{74C8437B-1EC5-4E32-A1E0-735974C92DA1}"/>
    <cellStyle name="Note 3 2 2 4" xfId="1430" xr:uid="{00000000-0005-0000-0000-00006B210000}"/>
    <cellStyle name="Note 3 2 2 4 2" xfId="3660" xr:uid="{00000000-0005-0000-0000-00006C210000}"/>
    <cellStyle name="Note 3 2 2 4 2 2" xfId="7882" xr:uid="{00000000-0005-0000-0000-00006D210000}"/>
    <cellStyle name="Note 3 2 2 4 2 2 2" xfId="16332" xr:uid="{3E3BF049-36F1-4F88-A5CE-F62224210CA5}"/>
    <cellStyle name="Note 3 2 2 4 2 3" xfId="12114" xr:uid="{B6C6BCA4-19B3-4E2E-9325-75DFA8CCD25E}"/>
    <cellStyle name="Note 3 2 2 4 3" xfId="5737" xr:uid="{00000000-0005-0000-0000-00006E210000}"/>
    <cellStyle name="Note 3 2 2 4 3 2" xfId="14187" xr:uid="{40935817-310A-491B-9007-FFE8086EF5B8}"/>
    <cellStyle name="Note 3 2 2 4 4" xfId="9969" xr:uid="{C2819BA8-0626-41EF-B50C-69D17C134176}"/>
    <cellStyle name="Note 3 2 2 5" xfId="1844" xr:uid="{00000000-0005-0000-0000-00006F210000}"/>
    <cellStyle name="Note 3 2 2 5 2" xfId="4073" xr:uid="{00000000-0005-0000-0000-000070210000}"/>
    <cellStyle name="Note 3 2 2 5 2 2" xfId="8295" xr:uid="{00000000-0005-0000-0000-000071210000}"/>
    <cellStyle name="Note 3 2 2 5 2 2 2" xfId="16745" xr:uid="{0138C3E7-A0DA-41E7-AC74-DE1C7F38105A}"/>
    <cellStyle name="Note 3 2 2 5 2 3" xfId="12527" xr:uid="{27A01D7C-7B46-4BC7-A5A1-B8D068FF32FB}"/>
    <cellStyle name="Note 3 2 2 5 3" xfId="6150" xr:uid="{00000000-0005-0000-0000-000072210000}"/>
    <cellStyle name="Note 3 2 2 5 3 2" xfId="14600" xr:uid="{A3009F8C-B757-4370-8A6A-498D40DCFF7F}"/>
    <cellStyle name="Note 3 2 2 5 4" xfId="10382" xr:uid="{B934B5BA-EB63-42F4-BFF7-87D87D041888}"/>
    <cellStyle name="Note 3 2 2 6" xfId="2257" xr:uid="{00000000-0005-0000-0000-000073210000}"/>
    <cellStyle name="Note 3 2 2 6 2" xfId="4486" xr:uid="{00000000-0005-0000-0000-000074210000}"/>
    <cellStyle name="Note 3 2 2 6 2 2" xfId="8708" xr:uid="{00000000-0005-0000-0000-000075210000}"/>
    <cellStyle name="Note 3 2 2 6 2 2 2" xfId="17158" xr:uid="{36C01D02-F79D-4F7A-B9A7-8D7B3A82D4FA}"/>
    <cellStyle name="Note 3 2 2 6 2 3" xfId="12940" xr:uid="{EC18B881-55D1-482F-9A57-E774DA686993}"/>
    <cellStyle name="Note 3 2 2 6 3" xfId="6563" xr:uid="{00000000-0005-0000-0000-000076210000}"/>
    <cellStyle name="Note 3 2 2 6 3 2" xfId="15013" xr:uid="{B441EBE2-A436-4167-86E9-F3929D59B255}"/>
    <cellStyle name="Note 3 2 2 6 4" xfId="10795" xr:uid="{F1174DB7-26F2-4281-A5C5-26534F6C9CCB}"/>
    <cellStyle name="Note 3 2 2 7" xfId="2693" xr:uid="{00000000-0005-0000-0000-000077210000}"/>
    <cellStyle name="Note 3 2 2 7 2" xfId="6976" xr:uid="{00000000-0005-0000-0000-000078210000}"/>
    <cellStyle name="Note 3 2 2 7 2 2" xfId="15426" xr:uid="{C4BAE0AA-4ED4-4551-A100-B4652BA4774A}"/>
    <cellStyle name="Note 3 2 2 7 3" xfId="11208" xr:uid="{43CEA20F-5A66-4D42-8748-CFC6F4B03D9A}"/>
    <cellStyle name="Note 3 2 2 8" xfId="2752" xr:uid="{00000000-0005-0000-0000-000079210000}"/>
    <cellStyle name="Note 3 2 2 9" xfId="2833" xr:uid="{00000000-0005-0000-0000-00007A210000}"/>
    <cellStyle name="Note 3 2 2 9 2" xfId="7056" xr:uid="{00000000-0005-0000-0000-00007B210000}"/>
    <cellStyle name="Note 3 2 2 9 2 2" xfId="15506" xr:uid="{C2859ED5-D1AE-48F6-890E-BDD72C397362}"/>
    <cellStyle name="Note 3 2 2 9 3" xfId="11288" xr:uid="{2C076397-46D4-4A17-91CE-7417DC267D3D}"/>
    <cellStyle name="Note 3 2 3" xfId="557" xr:uid="{00000000-0005-0000-0000-00007C210000}"/>
    <cellStyle name="Note 3 2 3 10" xfId="9145" xr:uid="{AE0CAE79-0B8C-4FD9-BBEB-BE47E18A1BAA}"/>
    <cellStyle name="Note 3 2 3 2" xfId="1017" xr:uid="{00000000-0005-0000-0000-00007D210000}"/>
    <cellStyle name="Note 3 2 3 2 2" xfId="3249" xr:uid="{00000000-0005-0000-0000-00007E210000}"/>
    <cellStyle name="Note 3 2 3 2 2 2" xfId="7471" xr:uid="{00000000-0005-0000-0000-00007F210000}"/>
    <cellStyle name="Note 3 2 3 2 2 2 2" xfId="15921" xr:uid="{03B2C357-A01D-4F6E-8343-4FE298AF9EA5}"/>
    <cellStyle name="Note 3 2 3 2 2 3" xfId="11703" xr:uid="{92C41858-949D-4993-90DD-E5813EA04A2D}"/>
    <cellStyle name="Note 3 2 3 2 3" xfId="5326" xr:uid="{00000000-0005-0000-0000-000080210000}"/>
    <cellStyle name="Note 3 2 3 2 3 2" xfId="13776" xr:uid="{FE24D0E4-2BFE-492F-98C5-B60498BB7B04}"/>
    <cellStyle name="Note 3 2 3 2 4" xfId="9558" xr:uid="{B60C3677-7AC4-43F7-98A6-A0C64115C255}"/>
    <cellStyle name="Note 3 2 3 3" xfId="1432" xr:uid="{00000000-0005-0000-0000-000081210000}"/>
    <cellStyle name="Note 3 2 3 3 2" xfId="3662" xr:uid="{00000000-0005-0000-0000-000082210000}"/>
    <cellStyle name="Note 3 2 3 3 2 2" xfId="7884" xr:uid="{00000000-0005-0000-0000-000083210000}"/>
    <cellStyle name="Note 3 2 3 3 2 2 2" xfId="16334" xr:uid="{B68A0B7F-B401-4F4B-90AC-D486FEEB9B31}"/>
    <cellStyle name="Note 3 2 3 3 2 3" xfId="12116" xr:uid="{E570A0BF-4EF8-4B99-ABE8-6590E79E84F6}"/>
    <cellStyle name="Note 3 2 3 3 3" xfId="5739" xr:uid="{00000000-0005-0000-0000-000084210000}"/>
    <cellStyle name="Note 3 2 3 3 3 2" xfId="14189" xr:uid="{B7296E85-8899-4D9E-940C-C5653937409E}"/>
    <cellStyle name="Note 3 2 3 3 4" xfId="9971" xr:uid="{58FB268F-0C89-4ACF-84B3-F07E6579F4A2}"/>
    <cellStyle name="Note 3 2 3 4" xfId="1846" xr:uid="{00000000-0005-0000-0000-000085210000}"/>
    <cellStyle name="Note 3 2 3 4 2" xfId="4075" xr:uid="{00000000-0005-0000-0000-000086210000}"/>
    <cellStyle name="Note 3 2 3 4 2 2" xfId="8297" xr:uid="{00000000-0005-0000-0000-000087210000}"/>
    <cellStyle name="Note 3 2 3 4 2 2 2" xfId="16747" xr:uid="{A71BF63F-CC9C-4155-BF25-90FB44A466B7}"/>
    <cellStyle name="Note 3 2 3 4 2 3" xfId="12529" xr:uid="{F185FBCF-9321-4C3E-9890-E596B6DA5297}"/>
    <cellStyle name="Note 3 2 3 4 3" xfId="6152" xr:uid="{00000000-0005-0000-0000-000088210000}"/>
    <cellStyle name="Note 3 2 3 4 3 2" xfId="14602" xr:uid="{3F37A4E2-A9DC-49AD-BD11-3989E8E7D46F}"/>
    <cellStyle name="Note 3 2 3 4 4" xfId="10384" xr:uid="{3C7159E4-7228-4410-AE9D-F5F05D809406}"/>
    <cellStyle name="Note 3 2 3 5" xfId="2259" xr:uid="{00000000-0005-0000-0000-000089210000}"/>
    <cellStyle name="Note 3 2 3 5 2" xfId="4488" xr:uid="{00000000-0005-0000-0000-00008A210000}"/>
    <cellStyle name="Note 3 2 3 5 2 2" xfId="8710" xr:uid="{00000000-0005-0000-0000-00008B210000}"/>
    <cellStyle name="Note 3 2 3 5 2 2 2" xfId="17160" xr:uid="{0041D8DE-EC12-43F4-836C-C04A0FF47A88}"/>
    <cellStyle name="Note 3 2 3 5 2 3" xfId="12942" xr:uid="{F99F29D0-AAD3-4B1D-9FBF-FA060EA122C3}"/>
    <cellStyle name="Note 3 2 3 5 3" xfId="6565" xr:uid="{00000000-0005-0000-0000-00008C210000}"/>
    <cellStyle name="Note 3 2 3 5 3 2" xfId="15015" xr:uid="{9C16C99C-1523-442E-B68D-151714C4D301}"/>
    <cellStyle name="Note 3 2 3 5 4" xfId="10797" xr:uid="{9D94582A-19A7-4518-B649-F3EAFEDC285A}"/>
    <cellStyle name="Note 3 2 3 6" xfId="2695" xr:uid="{00000000-0005-0000-0000-00008D210000}"/>
    <cellStyle name="Note 3 2 3 6 2" xfId="6978" xr:uid="{00000000-0005-0000-0000-00008E210000}"/>
    <cellStyle name="Note 3 2 3 6 2 2" xfId="15428" xr:uid="{E707E64E-940F-4A37-825E-A374B810B560}"/>
    <cellStyle name="Note 3 2 3 6 3" xfId="11210" xr:uid="{7016142F-DBC1-4392-9257-DB69CADB61A6}"/>
    <cellStyle name="Note 3 2 3 7" xfId="2754" xr:uid="{00000000-0005-0000-0000-00008F210000}"/>
    <cellStyle name="Note 3 2 3 8" xfId="2835" xr:uid="{00000000-0005-0000-0000-000090210000}"/>
    <cellStyle name="Note 3 2 3 8 2" xfId="7058" xr:uid="{00000000-0005-0000-0000-000091210000}"/>
    <cellStyle name="Note 3 2 3 8 2 2" xfId="15508" xr:uid="{17557F8D-408A-4414-A32A-2CAFC6EDD0F7}"/>
    <cellStyle name="Note 3 2 3 8 3" xfId="11290" xr:uid="{CF9A21B1-4D56-4C34-AB8E-EF0990C4E878}"/>
    <cellStyle name="Note 3 2 3 9" xfId="4913" xr:uid="{00000000-0005-0000-0000-000092210000}"/>
    <cellStyle name="Note 3 2 3 9 2" xfId="13363" xr:uid="{16225CF2-515D-429B-8BED-2F3BAE075AA7}"/>
    <cellStyle name="Note 3 2 4" xfId="1014" xr:uid="{00000000-0005-0000-0000-000093210000}"/>
    <cellStyle name="Note 3 2 4 2" xfId="3246" xr:uid="{00000000-0005-0000-0000-000094210000}"/>
    <cellStyle name="Note 3 2 4 2 2" xfId="7468" xr:uid="{00000000-0005-0000-0000-000095210000}"/>
    <cellStyle name="Note 3 2 4 2 2 2" xfId="15918" xr:uid="{2EBBB7BA-DCCF-4B25-BCBA-C6678B5334CD}"/>
    <cellStyle name="Note 3 2 4 2 3" xfId="11700" xr:uid="{3ACC26CE-C792-4460-ACB4-ECB58DC20D43}"/>
    <cellStyle name="Note 3 2 4 3" xfId="5323" xr:uid="{00000000-0005-0000-0000-000096210000}"/>
    <cellStyle name="Note 3 2 4 3 2" xfId="13773" xr:uid="{8B540548-CA2E-4797-9326-B11FEC120A19}"/>
    <cellStyle name="Note 3 2 4 4" xfId="9555" xr:uid="{99E6F053-4B1E-4E83-B5D1-815D177FD6AB}"/>
    <cellStyle name="Note 3 2 5" xfId="1429" xr:uid="{00000000-0005-0000-0000-000097210000}"/>
    <cellStyle name="Note 3 2 5 2" xfId="3659" xr:uid="{00000000-0005-0000-0000-000098210000}"/>
    <cellStyle name="Note 3 2 5 2 2" xfId="7881" xr:uid="{00000000-0005-0000-0000-000099210000}"/>
    <cellStyle name="Note 3 2 5 2 2 2" xfId="16331" xr:uid="{D5FB1F5E-AE00-4302-86A3-301C606F7AC9}"/>
    <cellStyle name="Note 3 2 5 2 3" xfId="12113" xr:uid="{9B06B6A0-5DDC-4D6C-A1B1-BA81B359814A}"/>
    <cellStyle name="Note 3 2 5 3" xfId="5736" xr:uid="{00000000-0005-0000-0000-00009A210000}"/>
    <cellStyle name="Note 3 2 5 3 2" xfId="14186" xr:uid="{266CEF59-92BC-4644-896E-D05F0BD426D3}"/>
    <cellStyle name="Note 3 2 5 4" xfId="9968" xr:uid="{6FCC470E-2538-4E49-B797-03271F920466}"/>
    <cellStyle name="Note 3 2 6" xfId="1843" xr:uid="{00000000-0005-0000-0000-00009B210000}"/>
    <cellStyle name="Note 3 2 6 2" xfId="4072" xr:uid="{00000000-0005-0000-0000-00009C210000}"/>
    <cellStyle name="Note 3 2 6 2 2" xfId="8294" xr:uid="{00000000-0005-0000-0000-00009D210000}"/>
    <cellStyle name="Note 3 2 6 2 2 2" xfId="16744" xr:uid="{88AA8F9B-2E2E-491A-8B02-7F51B7337A06}"/>
    <cellStyle name="Note 3 2 6 2 3" xfId="12526" xr:uid="{CC3F38BA-9F76-48E0-9FE0-029B5B8A14B1}"/>
    <cellStyle name="Note 3 2 6 3" xfId="6149" xr:uid="{00000000-0005-0000-0000-00009E210000}"/>
    <cellStyle name="Note 3 2 6 3 2" xfId="14599" xr:uid="{098D3756-109A-487B-9D37-0AC14771EB39}"/>
    <cellStyle name="Note 3 2 6 4" xfId="10381" xr:uid="{3C7FCA36-2E4D-49D5-998A-8E32B828F9BE}"/>
    <cellStyle name="Note 3 2 7" xfId="2256" xr:uid="{00000000-0005-0000-0000-00009F210000}"/>
    <cellStyle name="Note 3 2 7 2" xfId="4485" xr:uid="{00000000-0005-0000-0000-0000A0210000}"/>
    <cellStyle name="Note 3 2 7 2 2" xfId="8707" xr:uid="{00000000-0005-0000-0000-0000A1210000}"/>
    <cellStyle name="Note 3 2 7 2 2 2" xfId="17157" xr:uid="{2681DBE9-ADB2-4526-8A9F-45DC043B4936}"/>
    <cellStyle name="Note 3 2 7 2 3" xfId="12939" xr:uid="{EE50DDF1-000F-49ED-B22C-FB28F0969190}"/>
    <cellStyle name="Note 3 2 7 3" xfId="6562" xr:uid="{00000000-0005-0000-0000-0000A2210000}"/>
    <cellStyle name="Note 3 2 7 3 2" xfId="15012" xr:uid="{AB3AF97F-D074-4084-9C48-956CDCF1714D}"/>
    <cellStyle name="Note 3 2 7 4" xfId="10794" xr:uid="{632DDE18-2B5C-4649-9C61-6C2C42552B71}"/>
    <cellStyle name="Note 3 2 8" xfId="2692" xr:uid="{00000000-0005-0000-0000-0000A3210000}"/>
    <cellStyle name="Note 3 2 8 2" xfId="6975" xr:uid="{00000000-0005-0000-0000-0000A4210000}"/>
    <cellStyle name="Note 3 2 8 2 2" xfId="15425" xr:uid="{8D246C83-F36C-4D59-9C87-0349BE4F2EF0}"/>
    <cellStyle name="Note 3 2 8 3" xfId="11207" xr:uid="{95A35A54-B6CB-484D-B41E-420B6AC415CA}"/>
    <cellStyle name="Note 3 2 9" xfId="2751" xr:uid="{00000000-0005-0000-0000-0000A5210000}"/>
    <cellStyle name="Note 3 3" xfId="558" xr:uid="{00000000-0005-0000-0000-0000A6210000}"/>
    <cellStyle name="Note 3 3 10" xfId="4914" xr:uid="{00000000-0005-0000-0000-0000A7210000}"/>
    <cellStyle name="Note 3 3 10 2" xfId="13364" xr:uid="{191BA04E-AB81-41B2-9ED6-E0B55C1CAAF9}"/>
    <cellStyle name="Note 3 3 11" xfId="9146" xr:uid="{D15769BD-1BD2-40F1-BF12-5F4F6CDA1A76}"/>
    <cellStyle name="Note 3 3 2" xfId="559" xr:uid="{00000000-0005-0000-0000-0000A8210000}"/>
    <cellStyle name="Note 3 3 2 10" xfId="9147" xr:uid="{25BF0AE0-3B21-46E6-B44A-EAB6F92F195A}"/>
    <cellStyle name="Note 3 3 2 2" xfId="1019" xr:uid="{00000000-0005-0000-0000-0000A9210000}"/>
    <cellStyle name="Note 3 3 2 2 2" xfId="3251" xr:uid="{00000000-0005-0000-0000-0000AA210000}"/>
    <cellStyle name="Note 3 3 2 2 2 2" xfId="7473" xr:uid="{00000000-0005-0000-0000-0000AB210000}"/>
    <cellStyle name="Note 3 3 2 2 2 2 2" xfId="15923" xr:uid="{32A02FAE-8CA5-4290-AE7D-108D1509F488}"/>
    <cellStyle name="Note 3 3 2 2 2 3" xfId="11705" xr:uid="{40CCBB78-9107-4066-917C-EF7922D27D96}"/>
    <cellStyle name="Note 3 3 2 2 3" xfId="5328" xr:uid="{00000000-0005-0000-0000-0000AC210000}"/>
    <cellStyle name="Note 3 3 2 2 3 2" xfId="13778" xr:uid="{52EACFFA-14FC-48B0-9A06-B00B6172A363}"/>
    <cellStyle name="Note 3 3 2 2 4" xfId="9560" xr:uid="{E7B4F981-4506-47C3-9E72-AF6384474B4C}"/>
    <cellStyle name="Note 3 3 2 3" xfId="1434" xr:uid="{00000000-0005-0000-0000-0000AD210000}"/>
    <cellStyle name="Note 3 3 2 3 2" xfId="3664" xr:uid="{00000000-0005-0000-0000-0000AE210000}"/>
    <cellStyle name="Note 3 3 2 3 2 2" xfId="7886" xr:uid="{00000000-0005-0000-0000-0000AF210000}"/>
    <cellStyle name="Note 3 3 2 3 2 2 2" xfId="16336" xr:uid="{E571423A-72B1-4EC8-B3C6-E2A3275D35B8}"/>
    <cellStyle name="Note 3 3 2 3 2 3" xfId="12118" xr:uid="{379A4303-B975-46CD-A882-A4713DD569A0}"/>
    <cellStyle name="Note 3 3 2 3 3" xfId="5741" xr:uid="{00000000-0005-0000-0000-0000B0210000}"/>
    <cellStyle name="Note 3 3 2 3 3 2" xfId="14191" xr:uid="{51ECA1E3-F0D3-4BFE-A4D1-8617FDC32FF8}"/>
    <cellStyle name="Note 3 3 2 3 4" xfId="9973" xr:uid="{D0CD236B-C632-473A-AA83-E6EE38294D5C}"/>
    <cellStyle name="Note 3 3 2 4" xfId="1848" xr:uid="{00000000-0005-0000-0000-0000B1210000}"/>
    <cellStyle name="Note 3 3 2 4 2" xfId="4077" xr:uid="{00000000-0005-0000-0000-0000B2210000}"/>
    <cellStyle name="Note 3 3 2 4 2 2" xfId="8299" xr:uid="{00000000-0005-0000-0000-0000B3210000}"/>
    <cellStyle name="Note 3 3 2 4 2 2 2" xfId="16749" xr:uid="{7FBC5479-4738-449E-8EB0-465DC463D831}"/>
    <cellStyle name="Note 3 3 2 4 2 3" xfId="12531" xr:uid="{3DB6D5E7-1491-4A21-AAED-826F6889BC1C}"/>
    <cellStyle name="Note 3 3 2 4 3" xfId="6154" xr:uid="{00000000-0005-0000-0000-0000B4210000}"/>
    <cellStyle name="Note 3 3 2 4 3 2" xfId="14604" xr:uid="{A317F2BB-2C91-4D6A-BAF2-50ED6389DEC7}"/>
    <cellStyle name="Note 3 3 2 4 4" xfId="10386" xr:uid="{CC4C6A17-DB12-4B61-8E10-739C45DE3DD1}"/>
    <cellStyle name="Note 3 3 2 5" xfId="2261" xr:uid="{00000000-0005-0000-0000-0000B5210000}"/>
    <cellStyle name="Note 3 3 2 5 2" xfId="4490" xr:uid="{00000000-0005-0000-0000-0000B6210000}"/>
    <cellStyle name="Note 3 3 2 5 2 2" xfId="8712" xr:uid="{00000000-0005-0000-0000-0000B7210000}"/>
    <cellStyle name="Note 3 3 2 5 2 2 2" xfId="17162" xr:uid="{0E11AED2-13F8-4DF6-91EE-47226E1080DE}"/>
    <cellStyle name="Note 3 3 2 5 2 3" xfId="12944" xr:uid="{F162D63D-E556-4855-951E-A0DEE0FA39D9}"/>
    <cellStyle name="Note 3 3 2 5 3" xfId="6567" xr:uid="{00000000-0005-0000-0000-0000B8210000}"/>
    <cellStyle name="Note 3 3 2 5 3 2" xfId="15017" xr:uid="{8E7F17F8-5085-467D-822F-15989813067C}"/>
    <cellStyle name="Note 3 3 2 5 4" xfId="10799" xr:uid="{B460FDB3-ADB2-4B18-944E-28398B7E1789}"/>
    <cellStyle name="Note 3 3 2 6" xfId="2697" xr:uid="{00000000-0005-0000-0000-0000B9210000}"/>
    <cellStyle name="Note 3 3 2 6 2" xfId="6980" xr:uid="{00000000-0005-0000-0000-0000BA210000}"/>
    <cellStyle name="Note 3 3 2 6 2 2" xfId="15430" xr:uid="{AE950D55-B61A-4E12-A2D8-7B6AEFB27D3F}"/>
    <cellStyle name="Note 3 3 2 6 3" xfId="11212" xr:uid="{AFFA6824-56B1-4220-8F3B-4CB9A7F8B093}"/>
    <cellStyle name="Note 3 3 2 7" xfId="2756" xr:uid="{00000000-0005-0000-0000-0000BB210000}"/>
    <cellStyle name="Note 3 3 2 8" xfId="2837" xr:uid="{00000000-0005-0000-0000-0000BC210000}"/>
    <cellStyle name="Note 3 3 2 8 2" xfId="7060" xr:uid="{00000000-0005-0000-0000-0000BD210000}"/>
    <cellStyle name="Note 3 3 2 8 2 2" xfId="15510" xr:uid="{89DD8368-867E-4062-B25D-F2227D53D83A}"/>
    <cellStyle name="Note 3 3 2 8 3" xfId="11292" xr:uid="{6461A147-4AB1-4FC9-BEAA-7B3D309622AA}"/>
    <cellStyle name="Note 3 3 2 9" xfId="4915" xr:uid="{00000000-0005-0000-0000-0000BE210000}"/>
    <cellStyle name="Note 3 3 2 9 2" xfId="13365" xr:uid="{5E1C4AF5-775A-428B-853F-7884C0A227BD}"/>
    <cellStyle name="Note 3 3 3" xfId="1018" xr:uid="{00000000-0005-0000-0000-0000BF210000}"/>
    <cellStyle name="Note 3 3 3 2" xfId="3250" xr:uid="{00000000-0005-0000-0000-0000C0210000}"/>
    <cellStyle name="Note 3 3 3 2 2" xfId="7472" xr:uid="{00000000-0005-0000-0000-0000C1210000}"/>
    <cellStyle name="Note 3 3 3 2 2 2" xfId="15922" xr:uid="{B2F017F5-8527-4987-BCB1-BC4E2E74DB3D}"/>
    <cellStyle name="Note 3 3 3 2 3" xfId="11704" xr:uid="{8C77B212-A85A-42AE-8449-B43F6CD77AE6}"/>
    <cellStyle name="Note 3 3 3 3" xfId="5327" xr:uid="{00000000-0005-0000-0000-0000C2210000}"/>
    <cellStyle name="Note 3 3 3 3 2" xfId="13777" xr:uid="{5428DE59-D894-47A3-9F87-27B5F67743D6}"/>
    <cellStyle name="Note 3 3 3 4" xfId="9559" xr:uid="{4F3E6C78-AA9E-4AF4-8ED9-681E644818D4}"/>
    <cellStyle name="Note 3 3 4" xfId="1433" xr:uid="{00000000-0005-0000-0000-0000C3210000}"/>
    <cellStyle name="Note 3 3 4 2" xfId="3663" xr:uid="{00000000-0005-0000-0000-0000C4210000}"/>
    <cellStyle name="Note 3 3 4 2 2" xfId="7885" xr:uid="{00000000-0005-0000-0000-0000C5210000}"/>
    <cellStyle name="Note 3 3 4 2 2 2" xfId="16335" xr:uid="{EDC7D0D2-9660-4013-8D94-551EDC1A030E}"/>
    <cellStyle name="Note 3 3 4 2 3" xfId="12117" xr:uid="{D9AAB883-AFA3-48A4-8B2B-0611A061A333}"/>
    <cellStyle name="Note 3 3 4 3" xfId="5740" xr:uid="{00000000-0005-0000-0000-0000C6210000}"/>
    <cellStyle name="Note 3 3 4 3 2" xfId="14190" xr:uid="{3108E2CF-5F09-4071-89F3-93AF4CF16941}"/>
    <cellStyle name="Note 3 3 4 4" xfId="9972" xr:uid="{EC1F3C15-8656-44CA-B2F9-50590C2C7107}"/>
    <cellStyle name="Note 3 3 5" xfId="1847" xr:uid="{00000000-0005-0000-0000-0000C7210000}"/>
    <cellStyle name="Note 3 3 5 2" xfId="4076" xr:uid="{00000000-0005-0000-0000-0000C8210000}"/>
    <cellStyle name="Note 3 3 5 2 2" xfId="8298" xr:uid="{00000000-0005-0000-0000-0000C9210000}"/>
    <cellStyle name="Note 3 3 5 2 2 2" xfId="16748" xr:uid="{0AF1532D-E892-478E-B355-B7119AABA083}"/>
    <cellStyle name="Note 3 3 5 2 3" xfId="12530" xr:uid="{EDFE2A72-F056-423D-8925-0C9914BE07AA}"/>
    <cellStyle name="Note 3 3 5 3" xfId="6153" xr:uid="{00000000-0005-0000-0000-0000CA210000}"/>
    <cellStyle name="Note 3 3 5 3 2" xfId="14603" xr:uid="{A6FD9789-7183-42B3-BA25-12287C41E74E}"/>
    <cellStyle name="Note 3 3 5 4" xfId="10385" xr:uid="{35104223-1E27-45B2-B20C-769A951A0E81}"/>
    <cellStyle name="Note 3 3 6" xfId="2260" xr:uid="{00000000-0005-0000-0000-0000CB210000}"/>
    <cellStyle name="Note 3 3 6 2" xfId="4489" xr:uid="{00000000-0005-0000-0000-0000CC210000}"/>
    <cellStyle name="Note 3 3 6 2 2" xfId="8711" xr:uid="{00000000-0005-0000-0000-0000CD210000}"/>
    <cellStyle name="Note 3 3 6 2 2 2" xfId="17161" xr:uid="{793FD794-4F07-41A0-A6C3-537F7744061B}"/>
    <cellStyle name="Note 3 3 6 2 3" xfId="12943" xr:uid="{DA0CAB9D-7283-4D37-AFED-BEE4249ABCE0}"/>
    <cellStyle name="Note 3 3 6 3" xfId="6566" xr:uid="{00000000-0005-0000-0000-0000CE210000}"/>
    <cellStyle name="Note 3 3 6 3 2" xfId="15016" xr:uid="{B2368CA8-FDB5-427A-81D4-D968074262E6}"/>
    <cellStyle name="Note 3 3 6 4" xfId="10798" xr:uid="{B360F72C-4ACE-46A0-9C35-135ECEEF952A}"/>
    <cellStyle name="Note 3 3 7" xfId="2696" xr:uid="{00000000-0005-0000-0000-0000CF210000}"/>
    <cellStyle name="Note 3 3 7 2" xfId="6979" xr:uid="{00000000-0005-0000-0000-0000D0210000}"/>
    <cellStyle name="Note 3 3 7 2 2" xfId="15429" xr:uid="{2D5CCA1C-6D11-4990-867F-727076D669DE}"/>
    <cellStyle name="Note 3 3 7 3" xfId="11211" xr:uid="{3387C78E-501C-4C92-B11B-595171ADA74D}"/>
    <cellStyle name="Note 3 3 8" xfId="2755" xr:uid="{00000000-0005-0000-0000-0000D1210000}"/>
    <cellStyle name="Note 3 3 9" xfId="2836" xr:uid="{00000000-0005-0000-0000-0000D2210000}"/>
    <cellStyle name="Note 3 3 9 2" xfId="7059" xr:uid="{00000000-0005-0000-0000-0000D3210000}"/>
    <cellStyle name="Note 3 3 9 2 2" xfId="15509" xr:uid="{41BA73B8-88C3-41A5-90BC-44F505719A3B}"/>
    <cellStyle name="Note 3 3 9 3" xfId="11291" xr:uid="{272380F3-65EE-4F4D-89C0-09FB5DD072E5}"/>
    <cellStyle name="Note 3 4" xfId="560" xr:uid="{00000000-0005-0000-0000-0000D4210000}"/>
    <cellStyle name="Note 3 4 10" xfId="9148" xr:uid="{C33E2A58-FDEF-434D-AD40-C5E3C051B442}"/>
    <cellStyle name="Note 3 4 2" xfId="1020" xr:uid="{00000000-0005-0000-0000-0000D5210000}"/>
    <cellStyle name="Note 3 4 2 2" xfId="3252" xr:uid="{00000000-0005-0000-0000-0000D6210000}"/>
    <cellStyle name="Note 3 4 2 2 2" xfId="7474" xr:uid="{00000000-0005-0000-0000-0000D7210000}"/>
    <cellStyle name="Note 3 4 2 2 2 2" xfId="15924" xr:uid="{0937CE13-1746-41BD-8B27-4E0B37AD4A0C}"/>
    <cellStyle name="Note 3 4 2 2 3" xfId="11706" xr:uid="{F47A9448-E6D4-444C-BA21-B52756529421}"/>
    <cellStyle name="Note 3 4 2 3" xfId="5329" xr:uid="{00000000-0005-0000-0000-0000D8210000}"/>
    <cellStyle name="Note 3 4 2 3 2" xfId="13779" xr:uid="{5F6E7A67-6C31-41F6-961E-3899C945F3F0}"/>
    <cellStyle name="Note 3 4 2 4" xfId="9561" xr:uid="{820C366C-DE4B-4594-87C3-AFBA64DE3CFD}"/>
    <cellStyle name="Note 3 4 3" xfId="1435" xr:uid="{00000000-0005-0000-0000-0000D9210000}"/>
    <cellStyle name="Note 3 4 3 2" xfId="3665" xr:uid="{00000000-0005-0000-0000-0000DA210000}"/>
    <cellStyle name="Note 3 4 3 2 2" xfId="7887" xr:uid="{00000000-0005-0000-0000-0000DB210000}"/>
    <cellStyle name="Note 3 4 3 2 2 2" xfId="16337" xr:uid="{78A2E62C-AFE4-493E-AC67-E28311BEC283}"/>
    <cellStyle name="Note 3 4 3 2 3" xfId="12119" xr:uid="{C864DEA5-3143-4D8A-B948-78C71A69EC6C}"/>
    <cellStyle name="Note 3 4 3 3" xfId="5742" xr:uid="{00000000-0005-0000-0000-0000DC210000}"/>
    <cellStyle name="Note 3 4 3 3 2" xfId="14192" xr:uid="{D39A6E12-EEB5-4449-B3B6-D8DEDA622D93}"/>
    <cellStyle name="Note 3 4 3 4" xfId="9974" xr:uid="{A8170C1D-B487-41D4-9764-F8F7B57368DA}"/>
    <cellStyle name="Note 3 4 4" xfId="1849" xr:uid="{00000000-0005-0000-0000-0000DD210000}"/>
    <cellStyle name="Note 3 4 4 2" xfId="4078" xr:uid="{00000000-0005-0000-0000-0000DE210000}"/>
    <cellStyle name="Note 3 4 4 2 2" xfId="8300" xr:uid="{00000000-0005-0000-0000-0000DF210000}"/>
    <cellStyle name="Note 3 4 4 2 2 2" xfId="16750" xr:uid="{4369249B-8DDD-47AE-8DED-D791AF49152E}"/>
    <cellStyle name="Note 3 4 4 2 3" xfId="12532" xr:uid="{5B39F65A-BC07-41B3-A3F8-1517EB8DBACC}"/>
    <cellStyle name="Note 3 4 4 3" xfId="6155" xr:uid="{00000000-0005-0000-0000-0000E0210000}"/>
    <cellStyle name="Note 3 4 4 3 2" xfId="14605" xr:uid="{7E0F63F4-30FB-46D5-B089-9EF7A68649D6}"/>
    <cellStyle name="Note 3 4 4 4" xfId="10387" xr:uid="{36421F1B-4903-419B-814D-C0DC77EA66E0}"/>
    <cellStyle name="Note 3 4 5" xfId="2262" xr:uid="{00000000-0005-0000-0000-0000E1210000}"/>
    <cellStyle name="Note 3 4 5 2" xfId="4491" xr:uid="{00000000-0005-0000-0000-0000E2210000}"/>
    <cellStyle name="Note 3 4 5 2 2" xfId="8713" xr:uid="{00000000-0005-0000-0000-0000E3210000}"/>
    <cellStyle name="Note 3 4 5 2 2 2" xfId="17163" xr:uid="{A478FB00-0D15-4BD5-A4FC-F4045F600D87}"/>
    <cellStyle name="Note 3 4 5 2 3" xfId="12945" xr:uid="{A3FE8219-250C-49F1-A9F5-8800CED132D7}"/>
    <cellStyle name="Note 3 4 5 3" xfId="6568" xr:uid="{00000000-0005-0000-0000-0000E4210000}"/>
    <cellStyle name="Note 3 4 5 3 2" xfId="15018" xr:uid="{1595ECED-60EA-45F5-A064-5B39CB1F6E15}"/>
    <cellStyle name="Note 3 4 5 4" xfId="10800" xr:uid="{8006CB59-D4B6-40BB-AB3E-EF97B1CCFA9E}"/>
    <cellStyle name="Note 3 4 6" xfId="2698" xr:uid="{00000000-0005-0000-0000-0000E5210000}"/>
    <cellStyle name="Note 3 4 6 2" xfId="6981" xr:uid="{00000000-0005-0000-0000-0000E6210000}"/>
    <cellStyle name="Note 3 4 6 2 2" xfId="15431" xr:uid="{FF4C6D08-985E-4BBF-A1C8-D7BB05DF56B7}"/>
    <cellStyle name="Note 3 4 6 3" xfId="11213" xr:uid="{D2E30BDF-A938-4E70-96D3-31B711950531}"/>
    <cellStyle name="Note 3 4 7" xfId="2757" xr:uid="{00000000-0005-0000-0000-0000E7210000}"/>
    <cellStyle name="Note 3 4 8" xfId="2838" xr:uid="{00000000-0005-0000-0000-0000E8210000}"/>
    <cellStyle name="Note 3 4 8 2" xfId="7061" xr:uid="{00000000-0005-0000-0000-0000E9210000}"/>
    <cellStyle name="Note 3 4 8 2 2" xfId="15511" xr:uid="{BBEE1378-C578-4818-814D-101C71551263}"/>
    <cellStyle name="Note 3 4 8 3" xfId="11293" xr:uid="{A495B40D-7ACB-4496-BEAD-E3620110DE29}"/>
    <cellStyle name="Note 3 4 9" xfId="4916" xr:uid="{00000000-0005-0000-0000-0000EA210000}"/>
    <cellStyle name="Note 3 4 9 2" xfId="13366" xr:uid="{231A2D34-A592-45A6-8FA3-2753D9909CB4}"/>
    <cellStyle name="Note 3 5" xfId="561" xr:uid="{00000000-0005-0000-0000-0000EB210000}"/>
    <cellStyle name="Note 3 5 10" xfId="9149" xr:uid="{7A3C48B1-19B0-4887-A693-75C34CD97989}"/>
    <cellStyle name="Note 3 5 2" xfId="1021" xr:uid="{00000000-0005-0000-0000-0000EC210000}"/>
    <cellStyle name="Note 3 5 2 2" xfId="3253" xr:uid="{00000000-0005-0000-0000-0000ED210000}"/>
    <cellStyle name="Note 3 5 2 2 2" xfId="7475" xr:uid="{00000000-0005-0000-0000-0000EE210000}"/>
    <cellStyle name="Note 3 5 2 2 2 2" xfId="15925" xr:uid="{879EB5CE-BCAB-4C54-B63A-7428CD986777}"/>
    <cellStyle name="Note 3 5 2 2 3" xfId="11707" xr:uid="{50AA42E6-C077-4043-A6A2-C13AC33C4A58}"/>
    <cellStyle name="Note 3 5 2 3" xfId="5330" xr:uid="{00000000-0005-0000-0000-0000EF210000}"/>
    <cellStyle name="Note 3 5 2 3 2" xfId="13780" xr:uid="{D88E6DB5-BBE4-4FD6-B75D-7DFCE9339665}"/>
    <cellStyle name="Note 3 5 2 4" xfId="9562" xr:uid="{20ECFCB2-3FF8-4632-9BD5-BBA285732FDF}"/>
    <cellStyle name="Note 3 5 3" xfId="1436" xr:uid="{00000000-0005-0000-0000-0000F0210000}"/>
    <cellStyle name="Note 3 5 3 2" xfId="3666" xr:uid="{00000000-0005-0000-0000-0000F1210000}"/>
    <cellStyle name="Note 3 5 3 2 2" xfId="7888" xr:uid="{00000000-0005-0000-0000-0000F2210000}"/>
    <cellStyle name="Note 3 5 3 2 2 2" xfId="16338" xr:uid="{8A5AA9D3-0497-4C63-9CB1-1B186E174EFE}"/>
    <cellStyle name="Note 3 5 3 2 3" xfId="12120" xr:uid="{8CEA13B4-6100-47F2-BB9C-9169E5FE4265}"/>
    <cellStyle name="Note 3 5 3 3" xfId="5743" xr:uid="{00000000-0005-0000-0000-0000F3210000}"/>
    <cellStyle name="Note 3 5 3 3 2" xfId="14193" xr:uid="{858D44D4-70A7-4403-AEC7-27897DC6A806}"/>
    <cellStyle name="Note 3 5 3 4" xfId="9975" xr:uid="{D8A563F7-A700-44B7-9C6A-54161E75C126}"/>
    <cellStyle name="Note 3 5 4" xfId="1850" xr:uid="{00000000-0005-0000-0000-0000F4210000}"/>
    <cellStyle name="Note 3 5 4 2" xfId="4079" xr:uid="{00000000-0005-0000-0000-0000F5210000}"/>
    <cellStyle name="Note 3 5 4 2 2" xfId="8301" xr:uid="{00000000-0005-0000-0000-0000F6210000}"/>
    <cellStyle name="Note 3 5 4 2 2 2" xfId="16751" xr:uid="{98D85F0C-BD6E-436D-B2A5-71086C22A95B}"/>
    <cellStyle name="Note 3 5 4 2 3" xfId="12533" xr:uid="{8D92215E-DA85-4390-9843-CF6C45D41EB4}"/>
    <cellStyle name="Note 3 5 4 3" xfId="6156" xr:uid="{00000000-0005-0000-0000-0000F7210000}"/>
    <cellStyle name="Note 3 5 4 3 2" xfId="14606" xr:uid="{A2AC082A-7885-45AD-94E7-ED410370A1F5}"/>
    <cellStyle name="Note 3 5 4 4" xfId="10388" xr:uid="{31433838-557B-47B1-BE86-DC54EF444360}"/>
    <cellStyle name="Note 3 5 5" xfId="2263" xr:uid="{00000000-0005-0000-0000-0000F8210000}"/>
    <cellStyle name="Note 3 5 5 2" xfId="4492" xr:uid="{00000000-0005-0000-0000-0000F9210000}"/>
    <cellStyle name="Note 3 5 5 2 2" xfId="8714" xr:uid="{00000000-0005-0000-0000-0000FA210000}"/>
    <cellStyle name="Note 3 5 5 2 2 2" xfId="17164" xr:uid="{B31AA575-F09F-47BB-B812-8E6B70791038}"/>
    <cellStyle name="Note 3 5 5 2 3" xfId="12946" xr:uid="{B13C8BD7-7CD2-4519-A8CF-A304E15E69CC}"/>
    <cellStyle name="Note 3 5 5 3" xfId="6569" xr:uid="{00000000-0005-0000-0000-0000FB210000}"/>
    <cellStyle name="Note 3 5 5 3 2" xfId="15019" xr:uid="{437FA739-7210-47E4-ABBF-14341B725C55}"/>
    <cellStyle name="Note 3 5 5 4" xfId="10801" xr:uid="{32FFE84A-446E-4E90-9530-884CFB25483E}"/>
    <cellStyle name="Note 3 5 6" xfId="2699" xr:uid="{00000000-0005-0000-0000-0000FC210000}"/>
    <cellStyle name="Note 3 5 6 2" xfId="6982" xr:uid="{00000000-0005-0000-0000-0000FD210000}"/>
    <cellStyle name="Note 3 5 6 2 2" xfId="15432" xr:uid="{9E633E95-75EE-4BDD-B5DD-0C9848FA10FE}"/>
    <cellStyle name="Note 3 5 6 3" xfId="11214" xr:uid="{5D1BA9E4-1194-4A7F-BEC8-3BCFB8C76A8E}"/>
    <cellStyle name="Note 3 5 7" xfId="2758" xr:uid="{00000000-0005-0000-0000-0000FE210000}"/>
    <cellStyle name="Note 3 5 8" xfId="2839" xr:uid="{00000000-0005-0000-0000-0000FF210000}"/>
    <cellStyle name="Note 3 5 8 2" xfId="7062" xr:uid="{00000000-0005-0000-0000-000000220000}"/>
    <cellStyle name="Note 3 5 8 2 2" xfId="15512" xr:uid="{57B0E52D-5F0C-47C9-9031-6A090C683068}"/>
    <cellStyle name="Note 3 5 8 3" xfId="11294" xr:uid="{6749EAF2-A5EC-4404-B8DF-3DE771C8DDF7}"/>
    <cellStyle name="Note 3 5 9" xfId="4917" xr:uid="{00000000-0005-0000-0000-000001220000}"/>
    <cellStyle name="Note 3 5 9 2" xfId="13367" xr:uid="{0C27FC88-281B-4B0A-A69C-52302B092BC3}"/>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5C334213-6A09-4C8A-BB95-06D88C03A275}"/>
    <cellStyle name="Percent 4" xfId="4502" xr:uid="{00000000-0005-0000-0000-000007220000}"/>
    <cellStyle name="Percent 4 2" xfId="8717" xr:uid="{00000000-0005-0000-0000-000008220000}"/>
    <cellStyle name="Percent 4 2 2" xfId="17167" xr:uid="{406334C0-ACAD-448C-BB91-8A2563E2BDCA}"/>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5DBE0D39-D03A-4D98-9C79-EA290F215E0D}"/>
    <cellStyle name="Percent 4 3 2 2 2 3" xfId="17180" xr:uid="{EF595A73-17A8-4A6A-919B-79B22F4A1031}"/>
    <cellStyle name="Percent 4 3 2 2 3" xfId="17176" xr:uid="{41ECFBB1-4FA0-4972-8908-AF5142B71CB2}"/>
    <cellStyle name="Percent 4 3 2 3" xfId="17173" xr:uid="{DBCC6CC0-28B7-4A9B-BF0F-B3E0A2B1C72B}"/>
    <cellStyle name="Percent 4 3 3" xfId="17170" xr:uid="{50C79BFA-7F7A-4E1C-9DC6-4978BAA541C9}"/>
    <cellStyle name="Percent 4 4" xfId="12953" xr:uid="{55CDFDF3-F2EA-4E4A-B4BD-0352ECDFB8B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1258</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G84" sqref="G84"/>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4" t="s">
        <v>1585</v>
      </c>
      <c r="B1" s="2674"/>
      <c r="C1" s="2674"/>
      <c r="D1" s="2674"/>
      <c r="E1" s="2674"/>
      <c r="F1" s="2674"/>
      <c r="G1" s="2674"/>
      <c r="H1" s="2674"/>
      <c r="I1" s="2674"/>
      <c r="J1" s="2674"/>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53338648</v>
      </c>
      <c r="I3" s="1105"/>
    </row>
    <row r="4" spans="1:13" s="1051" customFormat="1" ht="20.149999999999999" customHeight="1">
      <c r="B4" s="1094"/>
      <c r="D4" s="1108"/>
      <c r="F4" s="1092" t="s">
        <v>1991</v>
      </c>
      <c r="G4" s="1091" t="s">
        <v>1990</v>
      </c>
      <c r="H4" s="1093">
        <f>I18</f>
        <v>23980392.156862747</v>
      </c>
      <c r="I4" s="1095"/>
      <c r="K4" s="1055"/>
    </row>
    <row r="5" spans="1:13" s="1051" customFormat="1" ht="20.149999999999999" customHeight="1" thickBot="1">
      <c r="B5" s="1096"/>
      <c r="C5" s="1097"/>
      <c r="D5" s="1109"/>
      <c r="E5" s="1098"/>
      <c r="F5" s="1109" t="s">
        <v>1941</v>
      </c>
      <c r="G5" s="1110"/>
      <c r="H5" s="1106">
        <f>IFERROR(H3/H4,0)</f>
        <v>2.2242608732624691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7" t="s">
        <v>1939</v>
      </c>
      <c r="C8" s="2678"/>
      <c r="D8" s="2678"/>
      <c r="E8" s="2679"/>
      <c r="G8" s="2654" t="s">
        <v>1940</v>
      </c>
      <c r="H8" s="2655"/>
      <c r="I8" s="2656"/>
      <c r="K8" s="1057"/>
    </row>
    <row r="9" spans="1:13" ht="15" customHeight="1">
      <c r="A9" s="1046"/>
      <c r="B9" s="2675" t="s">
        <v>1973</v>
      </c>
      <c r="C9" s="2675"/>
      <c r="D9" s="2675"/>
      <c r="E9" s="1059">
        <f>G33</f>
        <v>10725000</v>
      </c>
      <c r="G9" s="2667" t="s">
        <v>1971</v>
      </c>
      <c r="H9" s="2667"/>
      <c r="I9" s="1060">
        <f>SUMIF(Application!M554:M565,"Loan, Tax-Exempt",Application!AM554:AM565)</f>
        <v>24000000</v>
      </c>
      <c r="K9" s="1061"/>
      <c r="M9" s="1062"/>
    </row>
    <row r="10" spans="1:13" ht="15" customHeight="1" thickBot="1">
      <c r="A10" s="1046"/>
      <c r="B10" s="2675" t="s">
        <v>1974</v>
      </c>
      <c r="C10" s="2675"/>
      <c r="D10" s="2675"/>
      <c r="E10" s="1060">
        <f>G47</f>
        <v>20120148</v>
      </c>
      <c r="G10" s="2681" t="s">
        <v>1942</v>
      </c>
      <c r="H10" s="2681"/>
      <c r="I10" s="1140">
        <f>'Basis &amp; Credits'!AB78</f>
        <v>0</v>
      </c>
      <c r="M10" s="1062"/>
    </row>
    <row r="11" spans="1:13" ht="15" customHeight="1">
      <c r="A11" s="1046"/>
      <c r="B11" s="2668" t="s">
        <v>2262</v>
      </c>
      <c r="C11" s="2669"/>
      <c r="D11" s="2670"/>
      <c r="E11" s="1060">
        <f>SUM(E12,E13)</f>
        <v>400000</v>
      </c>
      <c r="G11" s="2666" t="s">
        <v>1982</v>
      </c>
      <c r="H11" s="2666"/>
      <c r="I11" s="1139">
        <f>I9+I10</f>
        <v>24000000</v>
      </c>
      <c r="M11" s="1062"/>
    </row>
    <row r="12" spans="1:13" ht="15" customHeight="1">
      <c r="A12" s="1063"/>
      <c r="B12" s="2676" t="s">
        <v>2264</v>
      </c>
      <c r="C12" s="2676"/>
      <c r="D12" s="2676"/>
      <c r="E12" s="1165">
        <f>G56</f>
        <v>0</v>
      </c>
      <c r="M12" s="1062"/>
    </row>
    <row r="13" spans="1:13" ht="15" customHeight="1">
      <c r="A13" s="1049"/>
      <c r="B13" s="2676" t="s">
        <v>2265</v>
      </c>
      <c r="C13" s="2676"/>
      <c r="D13" s="2676"/>
      <c r="E13" s="1165">
        <f>G65</f>
        <v>400000</v>
      </c>
      <c r="G13" s="2654" t="s">
        <v>2005</v>
      </c>
      <c r="H13" s="2655"/>
      <c r="I13" s="2656"/>
      <c r="M13" s="1062"/>
    </row>
    <row r="14" spans="1:13" ht="15" customHeight="1">
      <c r="A14" s="1049"/>
      <c r="B14" s="2668" t="s">
        <v>2263</v>
      </c>
      <c r="C14" s="2669"/>
      <c r="D14" s="2670"/>
      <c r="E14" s="1167">
        <f>MAX(E15,E16)+E17</f>
        <v>22093500</v>
      </c>
      <c r="G14" s="2667" t="s">
        <v>139</v>
      </c>
      <c r="H14" s="2667"/>
      <c r="I14" s="1064">
        <f>15%*(AND(G120="Yes",G122&lt;&gt;""))</f>
        <v>0</v>
      </c>
      <c r="M14" s="1062"/>
    </row>
    <row r="15" spans="1:13" ht="15" customHeight="1">
      <c r="A15" s="1049"/>
      <c r="B15" s="2651" t="s">
        <v>2269</v>
      </c>
      <c r="C15" s="2652"/>
      <c r="D15" s="2653"/>
      <c r="E15" s="1165">
        <f>G80</f>
        <v>6435000</v>
      </c>
      <c r="G15" s="1137" t="s">
        <v>1983</v>
      </c>
      <c r="H15" s="1137"/>
      <c r="I15" s="1064">
        <f>IF(Application!AJ1032&gt;0,10%,IF(Application!AJ1036&gt;0,5%,0))</f>
        <v>0</v>
      </c>
      <c r="M15" s="1062"/>
    </row>
    <row r="16" spans="1:13" ht="15" customHeight="1">
      <c r="A16" s="1049"/>
      <c r="B16" s="2651" t="s">
        <v>2268</v>
      </c>
      <c r="C16" s="2652"/>
      <c r="D16" s="2653"/>
      <c r="E16" s="1165">
        <f>G90</f>
        <v>0</v>
      </c>
      <c r="G16" s="2667" t="s">
        <v>1984</v>
      </c>
      <c r="H16" s="2667"/>
      <c r="I16" s="1064">
        <f>G132</f>
        <v>8.1699346405228761E-4</v>
      </c>
    </row>
    <row r="17" spans="1:21" ht="15" customHeight="1" thickBot="1">
      <c r="A17" s="1049"/>
      <c r="B17" s="2651" t="s">
        <v>2267</v>
      </c>
      <c r="C17" s="2652"/>
      <c r="D17" s="2653"/>
      <c r="E17" s="1165">
        <f>G115</f>
        <v>15658500</v>
      </c>
      <c r="G17" s="2667" t="s">
        <v>2277</v>
      </c>
      <c r="H17" s="2667"/>
      <c r="I17" s="1064">
        <f>IF(AND(G139="Yes",OR(G136,G137)),IF(G143&gt;15%,15%,G143),0)</f>
        <v>0</v>
      </c>
    </row>
    <row r="18" spans="1:21" ht="15" customHeight="1">
      <c r="A18" s="1046"/>
      <c r="B18" s="2680" t="s">
        <v>1938</v>
      </c>
      <c r="C18" s="2680"/>
      <c r="D18" s="2680"/>
      <c r="E18" s="1111">
        <f>SUM(E9:E11,E14)</f>
        <v>53338648</v>
      </c>
      <c r="G18" s="1138" t="s">
        <v>1972</v>
      </c>
      <c r="H18" s="1138"/>
      <c r="I18" s="1112">
        <f>I11-((I11*I14)+(I11*I15)+(I11*I16)+(I11*I17))</f>
        <v>23980392.156862747</v>
      </c>
      <c r="M18" s="1065">
        <f>SUM(Cdlac[Quantity])</f>
        <v>198</v>
      </c>
      <c r="O18" s="1084" t="s">
        <v>582</v>
      </c>
      <c r="P18" s="1044">
        <f>MATCH(Application!T189,Application!CB160:CB217,0)</f>
        <v>37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13</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13</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8" t="s">
        <v>1986</v>
      </c>
      <c r="D22" s="2658" t="s">
        <v>1987</v>
      </c>
      <c r="E22" s="2658" t="s">
        <v>1988</v>
      </c>
      <c r="F22" s="2658" t="s">
        <v>2608</v>
      </c>
      <c r="G22" s="2658" t="s">
        <v>1985</v>
      </c>
      <c r="H22" s="1070"/>
      <c r="I22" s="1069"/>
      <c r="L22" s="1044">
        <f>IFERROR(MIN(4,MATCH(Application!B720,UnitSizes,0)-1),"")</f>
        <v>1</v>
      </c>
      <c r="M22" s="1065">
        <f>Application!G720</f>
        <v>80</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9"/>
      <c r="D23" s="2659"/>
      <c r="E23" s="2659"/>
      <c r="F23" s="2659"/>
      <c r="G23" s="2659"/>
      <c r="H23" s="1070"/>
      <c r="I23" s="1069"/>
      <c r="L23" s="1044">
        <f>IFERROR(MIN(4,MATCH(Application!B721,UnitSizes,0)-1),"")</f>
        <v>1</v>
      </c>
      <c r="M23" s="1065">
        <f>Application!G721</f>
        <v>26</v>
      </c>
      <c r="N23" s="1071">
        <f>Application!AC721</f>
        <v>0.8</v>
      </c>
      <c r="O23" s="1071">
        <f>IF(Cdlac[[#This Row],[Quantity]]&gt;0,IF(Cdlac[[#This Row],[Federal]],30%,IF(AND(OR(NOT($G$38),$G$38=""),$G$43),40%,Cdlac[[#This Row],[iAMI]])),"")</f>
        <v>0.8</v>
      </c>
      <c r="P23" s="1065" cm="1">
        <f t="array" ref="P23">IF(Cdlac[[#This Row],[Quantity]]&gt;0,INDEX(TcacRents,$P$18,Cdlac[[#This Row],[Bedrooms]]+1)*Cdlac[[#This Row],[AMI]],"")</f>
        <v>2480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132</v>
      </c>
      <c r="F25" s="1072">
        <f>E25</f>
        <v>132</v>
      </c>
      <c r="G25" s="1072">
        <f>D25*F25</f>
        <v>132</v>
      </c>
      <c r="L25" s="1044">
        <f>IFERROR(MIN(4,MATCH(Application!B723,UnitSizes,0)-1),"")</f>
        <v>2</v>
      </c>
      <c r="M25" s="1065">
        <f>Application!G723</f>
        <v>7</v>
      </c>
      <c r="N25" s="1071">
        <f>Application!AC723</f>
        <v>0.5</v>
      </c>
      <c r="O25" s="1071">
        <f>IF(Cdlac[[#This Row],[Quantity]]&gt;0,IF(Cdlac[[#This Row],[Federal]],30%,IF(AND(OR(NOT($G$38),$G$38=""),$G$43),40%,Cdlac[[#This Row],[iAMI]])),"")</f>
        <v>0.5</v>
      </c>
      <c r="P25" s="1065" cm="1">
        <f t="array" ref="P25">IF(Cdlac[[#This Row],[Quantity]]&gt;0,INDEX(TcacRents,$P$18,Cdlac[[#This Row],[Bedrooms]]+1)*Cdlac[[#This Row],[AMI]],"")</f>
        <v>1861</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1020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66</v>
      </c>
      <c r="F26" s="1075">
        <f>SUM(E26:E28)-SUM(F27:F28)</f>
        <v>66</v>
      </c>
      <c r="G26" s="1072">
        <f>D26*F26</f>
        <v>82.5</v>
      </c>
      <c r="H26" s="1074"/>
      <c r="I26" s="1074"/>
      <c r="L26" s="1044">
        <f>IFERROR(MIN(4,MATCH(Application!B724,UnitSizes,0)-1),"")</f>
        <v>2</v>
      </c>
      <c r="M26" s="1065">
        <f>Application!G724</f>
        <v>41</v>
      </c>
      <c r="N26" s="1071">
        <f>Application!AC724</f>
        <v>0.6</v>
      </c>
      <c r="O26" s="1071">
        <f>IF(Cdlac[[#This Row],[Quantity]]&gt;0,IF(Cdlac[[#This Row],[Federal]],30%,IF(AND(OR(NOT($G$38),$G$38=""),$G$43),40%,Cdlac[[#This Row],[iAMI]])),"")</f>
        <v>0.6</v>
      </c>
      <c r="P26" s="1065" cm="1">
        <f t="array" ref="P26">IF(Cdlac[[#This Row],[Quantity]]&gt;0,INDEX(TcacRents,$P$18,Cdlac[[#This Row],[Bedrooms]]+1)*Cdlac[[#This Row],[AMI]],"")</f>
        <v>2233.1999999999998</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647.80000000000018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11</v>
      </c>
      <c r="N27" s="1071">
        <f>Application!AC725</f>
        <v>0.8</v>
      </c>
      <c r="O27" s="1071">
        <f>IF(Cdlac[[#This Row],[Quantity]]&gt;0,IF(Cdlac[[#This Row],[Federal]],30%,IF(AND(OR(NOT($G$38),$G$38=""),$G$43),40%,Cdlac[[#This Row],[iAMI]])),"")</f>
        <v>0.8</v>
      </c>
      <c r="P27" s="1065" cm="1">
        <f t="array" ref="P27">IF(Cdlac[[#This Row],[Quantity]]&gt;0,INDEX(TcacRents,$P$18,Cdlac[[#This Row],[Bedrooms]]+1)*Cdlac[[#This Row],[AMI]],"")</f>
        <v>2977.6000000000004</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0" t="s">
        <v>1586</v>
      </c>
      <c r="D29" s="2661"/>
      <c r="E29" s="1089">
        <f>SUM(E24:E28)</f>
        <v>198</v>
      </c>
      <c r="F29" s="1089">
        <f>SUM(F24:F28)</f>
        <v>198</v>
      </c>
      <c r="G29" s="1090">
        <f>SUMPRODUCT(D24:D28,F24:F28)</f>
        <v>214.5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214.5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10725000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0.59696969696969693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111778.6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20120148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99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20</v>
      </c>
    </row>
    <row r="61" spans="2:21" ht="15" customHeight="1">
      <c r="E61" s="1117" t="s">
        <v>1994</v>
      </c>
      <c r="G61" s="1079">
        <f>ROUNDDOWN(E29*50%,0)</f>
        <v>99</v>
      </c>
    </row>
    <row r="62" spans="2:21" ht="15" customHeight="1">
      <c r="E62" s="1117"/>
      <c r="G62" s="1079"/>
    </row>
    <row r="63" spans="2:21" ht="15" customHeight="1">
      <c r="E63" s="1117" t="s">
        <v>1954</v>
      </c>
      <c r="G63" s="1114">
        <f>MIN(G60:G61)</f>
        <v>20</v>
      </c>
    </row>
    <row r="64" spans="2:21" ht="15" customHeight="1">
      <c r="E64" s="1117" t="s">
        <v>1944</v>
      </c>
      <c r="F64" s="1113" t="s">
        <v>1992</v>
      </c>
      <c r="G64" s="1124">
        <v>20000</v>
      </c>
    </row>
    <row r="65" spans="2:14" ht="15" customHeight="1">
      <c r="E65" s="1118" t="s">
        <v>1976</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71" t="s">
        <v>1969</v>
      </c>
      <c r="M72" s="2672"/>
      <c r="N72" s="1131">
        <v>30000</v>
      </c>
    </row>
    <row r="73" spans="2:14" ht="15" customHeight="1">
      <c r="C73" s="2673" t="s">
        <v>2261</v>
      </c>
      <c r="D73" s="2673"/>
      <c r="E73" s="2673"/>
      <c r="F73" s="2673"/>
      <c r="G73" s="1043" t="s">
        <v>545</v>
      </c>
      <c r="L73" s="2682" t="s">
        <v>1937</v>
      </c>
      <c r="M73" s="2683"/>
      <c r="N73" s="1132">
        <v>20000</v>
      </c>
    </row>
    <row r="74" spans="2:14" ht="15" customHeight="1" thickBot="1">
      <c r="C74" s="2673"/>
      <c r="D74" s="2673"/>
      <c r="E74" s="2673"/>
      <c r="F74" s="2673"/>
      <c r="L74" s="2684" t="s">
        <v>1970</v>
      </c>
      <c r="M74" s="2685"/>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214.5</v>
      </c>
    </row>
    <row r="80" spans="2:14" ht="15" customHeight="1">
      <c r="D80" s="1046"/>
      <c r="E80" s="1118" t="s">
        <v>2266</v>
      </c>
      <c r="F80" s="1046"/>
      <c r="G80" s="1123">
        <f>G79*G78*G76</f>
        <v>6435000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214.5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214.5</v>
      </c>
    </row>
    <row r="97" spans="2:14" ht="15" customHeight="1">
      <c r="E97" s="1118" t="s">
        <v>1961</v>
      </c>
      <c r="F97" s="1046"/>
      <c r="G97" s="1123">
        <f>G94*G95*G96</f>
        <v>6006000</v>
      </c>
      <c r="L97" s="1127" t="str">
        <f>'Points System'!H638</f>
        <v>(ii)</v>
      </c>
      <c r="M97" s="2690" t="s">
        <v>1405</v>
      </c>
      <c r="N97" s="2691"/>
    </row>
    <row r="98" spans="2:14" ht="15" customHeight="1">
      <c r="C98" s="1077"/>
      <c r="G98" s="1114"/>
      <c r="L98" s="1128" t="str">
        <f>'Points System'!H650</f>
        <v>(i)</v>
      </c>
      <c r="M98" s="2686" t="s">
        <v>1956</v>
      </c>
      <c r="N98" s="2687"/>
    </row>
    <row r="99" spans="2:14" ht="15" customHeight="1">
      <c r="E99" s="1084" t="s">
        <v>1997</v>
      </c>
      <c r="G99" s="1126">
        <f>COUNTIFS(L97:L104,"(i)")</f>
        <v>5</v>
      </c>
      <c r="L99" s="1128" t="str">
        <f>'Points System'!H685</f>
        <v>(i)</v>
      </c>
      <c r="M99" s="2686" t="s">
        <v>1957</v>
      </c>
      <c r="N99" s="2687"/>
    </row>
    <row r="100" spans="2:14" ht="15" customHeight="1">
      <c r="E100" s="1084" t="s">
        <v>1944</v>
      </c>
      <c r="F100" s="1113" t="s">
        <v>1992</v>
      </c>
      <c r="G100" s="1124">
        <v>4000</v>
      </c>
      <c r="L100" s="1128" t="str">
        <f>IF(OR('Points System'!H709="(ii)",'Points System'!H709="(i)"),"(i)","N/A")</f>
        <v>(i)</v>
      </c>
      <c r="M100" s="2686" t="s">
        <v>1958</v>
      </c>
      <c r="N100" s="2687"/>
    </row>
    <row r="101" spans="2:14" ht="15" customHeight="1">
      <c r="E101" s="1118" t="s">
        <v>1962</v>
      </c>
      <c r="F101" s="1046"/>
      <c r="G101" s="1123">
        <f>G96*G99*G100</f>
        <v>4290000</v>
      </c>
      <c r="L101" s="1129" t="str">
        <f>'Points System'!H723</f>
        <v>N/A</v>
      </c>
      <c r="M101" s="2686" t="s">
        <v>1431</v>
      </c>
      <c r="N101" s="2687"/>
    </row>
    <row r="102" spans="2:14" ht="15" customHeight="1">
      <c r="L102" s="1128" t="str">
        <f>'Points System'!H735</f>
        <v>N/A</v>
      </c>
      <c r="M102" s="2686" t="s">
        <v>1959</v>
      </c>
      <c r="N102" s="2687"/>
    </row>
    <row r="103" spans="2:14" ht="15" customHeight="1">
      <c r="C103" s="1080" t="s">
        <v>1964</v>
      </c>
      <c r="L103" s="1128" t="str">
        <f>'Points System'!H751</f>
        <v>(i)</v>
      </c>
      <c r="M103" s="2686" t="s">
        <v>1960</v>
      </c>
      <c r="N103" s="2687"/>
    </row>
    <row r="104" spans="2:14" ht="15" customHeight="1" thickBot="1">
      <c r="C104" s="1077" t="s">
        <v>1965</v>
      </c>
      <c r="G104" s="1043"/>
      <c r="L104" s="1130" t="str">
        <f>'Points System'!H763</f>
        <v>(i)</v>
      </c>
      <c r="M104" s="2688" t="s">
        <v>1434</v>
      </c>
      <c r="N104" s="2689"/>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214.5</v>
      </c>
    </row>
    <row r="112" spans="2:14" ht="15" customHeight="1">
      <c r="E112" s="1084" t="s">
        <v>1944</v>
      </c>
      <c r="F112" s="1113" t="s">
        <v>1992</v>
      </c>
      <c r="G112" s="1124">
        <v>25000</v>
      </c>
    </row>
    <row r="113" spans="2:9" ht="15" customHeight="1">
      <c r="E113" s="1118" t="s">
        <v>1963</v>
      </c>
      <c r="F113" s="1046"/>
      <c r="G113" s="1123">
        <f>G109*G112*G96</f>
        <v>5362500</v>
      </c>
    </row>
    <row r="114" spans="2:9" ht="15" customHeight="1">
      <c r="C114" s="1077"/>
      <c r="E114" s="1077"/>
    </row>
    <row r="115" spans="2:9" ht="15" customHeight="1">
      <c r="E115" s="1118" t="s">
        <v>2271</v>
      </c>
      <c r="G115" s="1123">
        <f>G113+G101+G97</f>
        <v>15658500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2" t="s">
        <v>2226</v>
      </c>
      <c r="D119" s="2662"/>
      <c r="E119" s="2662"/>
      <c r="F119" s="2662"/>
    </row>
    <row r="120" spans="2:9" ht="15" customHeight="1">
      <c r="C120" s="2662"/>
      <c r="D120" s="2662"/>
      <c r="E120" s="2662"/>
      <c r="F120" s="2662"/>
      <c r="G120" s="1043"/>
    </row>
    <row r="121" spans="2:9" ht="15" customHeight="1"/>
    <row r="122" spans="2:9" ht="15" customHeight="1">
      <c r="C122" s="1044" t="s">
        <v>2228</v>
      </c>
      <c r="G122" s="2664"/>
      <c r="H122" s="2664"/>
    </row>
    <row r="123" spans="2:9" ht="15" customHeight="1">
      <c r="G123" s="2664"/>
      <c r="H123" s="2664"/>
    </row>
    <row r="124" spans="2:9" ht="15" customHeight="1">
      <c r="G124" s="2665"/>
      <c r="H124" s="2665"/>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c r="D132" s="1046"/>
      <c r="E132" s="1118" t="s">
        <v>2002</v>
      </c>
      <c r="F132" s="1134"/>
      <c r="G132" s="1135">
        <f>((G130-G131)/G131)*0.25</f>
        <v>8.1699346405228761E-4</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7" t="s">
        <v>2274</v>
      </c>
      <c r="D138" s="2657"/>
      <c r="E138" s="2657"/>
      <c r="F138" s="2657"/>
    </row>
    <row r="139" spans="2:9">
      <c r="B139" s="1045"/>
      <c r="C139" s="2657"/>
      <c r="D139" s="2657"/>
      <c r="E139" s="2657"/>
      <c r="F139" s="2657"/>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3600000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2" t="s">
        <v>909</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13</v>
      </c>
      <c r="C4" s="1162"/>
      <c r="D4" s="428">
        <f>Application!O718</f>
        <v>930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13</v>
      </c>
      <c r="C5" s="1162"/>
      <c r="D5" s="428">
        <f>Application!O719</f>
        <v>1550</v>
      </c>
      <c r="E5" s="429"/>
      <c r="F5" s="1083"/>
      <c r="G5" s="428">
        <f t="shared" ref="G5:G38" si="2">F5*B5</f>
        <v>0</v>
      </c>
      <c r="H5" s="429"/>
      <c r="I5" s="428" t="str">
        <f t="shared" si="0"/>
        <v/>
      </c>
      <c r="J5" s="428" t="str">
        <f t="shared" si="1"/>
        <v/>
      </c>
      <c r="K5" s="204"/>
      <c r="L5" s="305"/>
    </row>
    <row r="6" spans="1:12">
      <c r="A6" s="428" t="str">
        <f>Application!B720</f>
        <v>1 Bedroom</v>
      </c>
      <c r="B6" s="1082">
        <f>Application!G720</f>
        <v>80</v>
      </c>
      <c r="C6" s="1162"/>
      <c r="D6" s="428">
        <f>Application!O720</f>
        <v>1860</v>
      </c>
      <c r="E6" s="429"/>
      <c r="F6" s="1083"/>
      <c r="G6" s="428">
        <f t="shared" si="2"/>
        <v>0</v>
      </c>
      <c r="H6" s="429"/>
      <c r="I6" s="428" t="str">
        <f t="shared" si="0"/>
        <v/>
      </c>
      <c r="J6" s="428" t="str">
        <f t="shared" si="1"/>
        <v/>
      </c>
      <c r="K6" s="204"/>
      <c r="L6" s="305"/>
    </row>
    <row r="7" spans="1:12">
      <c r="A7" s="428" t="str">
        <f>Application!B721</f>
        <v>1 Bedroom</v>
      </c>
      <c r="B7" s="1082">
        <f>Application!G721</f>
        <v>26</v>
      </c>
      <c r="C7" s="1162"/>
      <c r="D7" s="428">
        <f>Application!O721</f>
        <v>2481</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1116</v>
      </c>
      <c r="E8" s="429"/>
      <c r="F8" s="1083"/>
      <c r="G8" s="428">
        <f t="shared" si="2"/>
        <v>0</v>
      </c>
      <c r="H8" s="429"/>
      <c r="I8" s="428" t="str">
        <f t="shared" si="0"/>
        <v/>
      </c>
      <c r="J8" s="428" t="str">
        <f t="shared" si="1"/>
        <v/>
      </c>
      <c r="K8" s="204"/>
      <c r="L8" s="305"/>
    </row>
    <row r="9" spans="1:12">
      <c r="A9" s="428" t="str">
        <f>Application!B723</f>
        <v>2 Bedrooms</v>
      </c>
      <c r="B9" s="1082">
        <f>Application!G723</f>
        <v>7</v>
      </c>
      <c r="C9" s="1162"/>
      <c r="D9" s="428">
        <f>Application!O723</f>
        <v>1861</v>
      </c>
      <c r="E9" s="429"/>
      <c r="F9" s="1083"/>
      <c r="G9" s="428">
        <f t="shared" si="2"/>
        <v>0</v>
      </c>
      <c r="H9" s="429"/>
      <c r="I9" s="428" t="str">
        <f t="shared" si="0"/>
        <v/>
      </c>
      <c r="J9" s="428" t="str">
        <f t="shared" si="1"/>
        <v/>
      </c>
      <c r="K9" s="204"/>
      <c r="L9" s="305"/>
    </row>
    <row r="10" spans="1:12">
      <c r="A10" s="428" t="str">
        <f>Application!B724</f>
        <v>2 Bedrooms</v>
      </c>
      <c r="B10" s="1082">
        <f>Application!G724</f>
        <v>41</v>
      </c>
      <c r="C10" s="1162"/>
      <c r="D10" s="428">
        <f>Application!O724</f>
        <v>2233</v>
      </c>
      <c r="E10" s="429"/>
      <c r="F10" s="1083"/>
      <c r="G10" s="428">
        <f t="shared" si="2"/>
        <v>0</v>
      </c>
      <c r="H10" s="429"/>
      <c r="I10" s="428" t="str">
        <f t="shared" si="0"/>
        <v/>
      </c>
      <c r="J10" s="428" t="str">
        <f t="shared" si="1"/>
        <v/>
      </c>
      <c r="K10" s="204"/>
      <c r="L10" s="305"/>
    </row>
    <row r="11" spans="1:12">
      <c r="A11" s="428" t="str">
        <f>Application!B725</f>
        <v>2 Bedrooms</v>
      </c>
      <c r="B11" s="1082">
        <f>Application!G725</f>
        <v>11</v>
      </c>
      <c r="C11" s="1162"/>
      <c r="D11" s="428">
        <f>Application!O725</f>
        <v>2978</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390696</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3" t="s">
        <v>2495</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2257</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zoomScale="90" zoomScaleNormal="90" workbookViewId="0">
      <selection activeCell="E74" sqref="E74"/>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4729992</v>
      </c>
      <c r="G4" s="219">
        <f>E4*$C$4</f>
        <v>4848241.8</v>
      </c>
      <c r="I4" s="219">
        <f>G4*$C$4</f>
        <v>4969447.8449999997</v>
      </c>
      <c r="K4" s="219">
        <f>I4*$C$4</f>
        <v>5093684.0411249995</v>
      </c>
      <c r="M4" s="219">
        <f>K4*$C$4</f>
        <v>5221026.1421531243</v>
      </c>
      <c r="O4" s="219">
        <f>M4*$C$4</f>
        <v>5351551.795706952</v>
      </c>
      <c r="Q4" s="219">
        <f>O4*$C$4</f>
        <v>5485340.5905996254</v>
      </c>
      <c r="S4" s="219">
        <f>Q4*$C$4</f>
        <v>5622474.1053646151</v>
      </c>
      <c r="U4" s="219">
        <f>S4*$C$4</f>
        <v>5763035.9579987302</v>
      </c>
      <c r="W4" s="219">
        <f>U4*$C$4</f>
        <v>5907111.8569486979</v>
      </c>
      <c r="Y4" s="219">
        <f>W4*$C$4</f>
        <v>6054789.6533724144</v>
      </c>
      <c r="AA4" s="219">
        <f>Y4*$C$4</f>
        <v>6206159.3947067242</v>
      </c>
      <c r="AC4" s="219">
        <f>AA4*$C$4</f>
        <v>6361313.379574392</v>
      </c>
      <c r="AE4" s="219">
        <f>AC4*$C$4</f>
        <v>6520346.2140637515</v>
      </c>
      <c r="AG4" s="219">
        <f>AE4*$C$4</f>
        <v>6683354.8694153447</v>
      </c>
    </row>
    <row r="5" spans="1:34" s="210" customFormat="1" ht="14">
      <c r="B5" s="210" t="s">
        <v>838</v>
      </c>
      <c r="C5" s="238">
        <f>IF(Application!$D$211="Special Needs",(((0.1*Application!$T$212)+(0.05*(1-Application!$T$212)))),0.05)</f>
        <v>0.05</v>
      </c>
      <c r="E5" s="221">
        <f>-E4*$C$5</f>
        <v>-236499.6</v>
      </c>
      <c r="F5" s="221"/>
      <c r="G5" s="221">
        <f>-G4*$C$5</f>
        <v>-242412.09</v>
      </c>
      <c r="H5" s="221"/>
      <c r="I5" s="221">
        <f>-I4*$C$5</f>
        <v>-248472.39225</v>
      </c>
      <c r="J5" s="221"/>
      <c r="K5" s="221">
        <f>-K4*$C$5</f>
        <v>-254684.20205624998</v>
      </c>
      <c r="L5" s="221"/>
      <c r="M5" s="221">
        <f>-M4*$C$5</f>
        <v>-261051.30710765623</v>
      </c>
      <c r="N5" s="221"/>
      <c r="O5" s="221">
        <f>-O4*$C$5</f>
        <v>-267577.58978534763</v>
      </c>
      <c r="P5" s="221"/>
      <c r="Q5" s="221">
        <f>-Q4*$C$5</f>
        <v>-274267.02952998126</v>
      </c>
      <c r="R5" s="221"/>
      <c r="S5" s="221">
        <f>-S4*$C$5</f>
        <v>-281123.70526823075</v>
      </c>
      <c r="T5" s="221"/>
      <c r="U5" s="221">
        <f>-U4*$C$5</f>
        <v>-288151.7978999365</v>
      </c>
      <c r="V5" s="221"/>
      <c r="W5" s="221">
        <f>-W4*$C$5</f>
        <v>-295355.59284743492</v>
      </c>
      <c r="X5" s="221"/>
      <c r="Y5" s="221">
        <f>-Y4*$C$5</f>
        <v>-302739.48266862071</v>
      </c>
      <c r="Z5" s="221"/>
      <c r="AA5" s="221">
        <f>-AA4*$C$5</f>
        <v>-310307.9697353362</v>
      </c>
      <c r="AB5" s="221"/>
      <c r="AC5" s="221">
        <f>-AC4*$C$5</f>
        <v>-318065.66897871962</v>
      </c>
      <c r="AD5" s="221"/>
      <c r="AE5" s="221">
        <f>-AE4*$C$5</f>
        <v>-326017.3107031876</v>
      </c>
      <c r="AF5" s="221"/>
      <c r="AG5" s="221">
        <f>-AG4*$C$5</f>
        <v>-334167.74347076728</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364200</v>
      </c>
      <c r="F8" s="222"/>
      <c r="G8" s="222">
        <f>E8*$C$8</f>
        <v>373304.99999999994</v>
      </c>
      <c r="H8" s="222"/>
      <c r="I8" s="222">
        <f>G8*$C$8</f>
        <v>382637.62499999988</v>
      </c>
      <c r="J8" s="222"/>
      <c r="K8" s="222">
        <f>I8*$C$8</f>
        <v>392203.56562499987</v>
      </c>
      <c r="L8" s="222"/>
      <c r="M8" s="222">
        <f>K8*$C$8</f>
        <v>402008.65476562484</v>
      </c>
      <c r="N8" s="222"/>
      <c r="O8" s="222">
        <f>M8*$C$8</f>
        <v>412058.87113476545</v>
      </c>
      <c r="P8" s="222"/>
      <c r="Q8" s="222">
        <f>O8*$C$8</f>
        <v>422360.34291313455</v>
      </c>
      <c r="R8" s="222"/>
      <c r="S8" s="222">
        <f>Q8*$C$8</f>
        <v>432919.35148596286</v>
      </c>
      <c r="T8" s="222"/>
      <c r="U8" s="222">
        <f>S8*$C$8</f>
        <v>443742.33527311188</v>
      </c>
      <c r="V8" s="222"/>
      <c r="W8" s="222">
        <f>U8*$C$8</f>
        <v>454835.89365493966</v>
      </c>
      <c r="X8" s="222"/>
      <c r="Y8" s="222">
        <f>W8*$C$8</f>
        <v>466206.7909963131</v>
      </c>
      <c r="Z8" s="222"/>
      <c r="AA8" s="222">
        <f>Y8*$C$8</f>
        <v>477861.96077122085</v>
      </c>
      <c r="AB8" s="222"/>
      <c r="AC8" s="222">
        <f>AA8*$C$8</f>
        <v>489808.50979050132</v>
      </c>
      <c r="AD8" s="222"/>
      <c r="AE8" s="222">
        <f>AC8*$C$8</f>
        <v>502053.72253526381</v>
      </c>
      <c r="AF8" s="222"/>
      <c r="AG8" s="222">
        <f>AE8*$C$8</f>
        <v>514605.06559864536</v>
      </c>
    </row>
    <row r="9" spans="1:34" s="210" customFormat="1" ht="14">
      <c r="B9" s="210" t="s">
        <v>838</v>
      </c>
      <c r="C9" s="238">
        <f>IF(Application!$D$211="Special Needs",(((0.1*Application!$T$212)+(0.05*(1-Application!$T$212)))),0.05)</f>
        <v>0.05</v>
      </c>
      <c r="E9" s="221">
        <f>-E8*$C$9</f>
        <v>-18210</v>
      </c>
      <c r="F9" s="221"/>
      <c r="G9" s="221">
        <f>-G8*$C$9</f>
        <v>-18665.249999999996</v>
      </c>
      <c r="H9" s="221"/>
      <c r="I9" s="221">
        <f>-I8*$C$9</f>
        <v>-19131.881249999995</v>
      </c>
      <c r="J9" s="221"/>
      <c r="K9" s="221">
        <f>-K8*$C$9</f>
        <v>-19610.178281249995</v>
      </c>
      <c r="L9" s="221"/>
      <c r="M9" s="221">
        <f>-M8*$C$9</f>
        <v>-20100.432738281244</v>
      </c>
      <c r="N9" s="221"/>
      <c r="O9" s="221">
        <f>-O8*$C$9</f>
        <v>-20602.943556738275</v>
      </c>
      <c r="P9" s="221"/>
      <c r="Q9" s="221">
        <f>-Q8*$C$9</f>
        <v>-21118.01714565673</v>
      </c>
      <c r="R9" s="221"/>
      <c r="S9" s="221">
        <f>-S8*$C$9</f>
        <v>-21645.967574298145</v>
      </c>
      <c r="T9" s="221"/>
      <c r="U9" s="221">
        <f>-U8*$C$9</f>
        <v>-22187.116763655595</v>
      </c>
      <c r="V9" s="221"/>
      <c r="W9" s="221">
        <f>-W8*$C$9</f>
        <v>-22741.794682746986</v>
      </c>
      <c r="X9" s="221"/>
      <c r="Y9" s="221">
        <f>-Y8*$C$9</f>
        <v>-23310.339549815657</v>
      </c>
      <c r="Z9" s="221"/>
      <c r="AA9" s="221">
        <f>-AA8*$C$9</f>
        <v>-23893.098038561046</v>
      </c>
      <c r="AB9" s="221"/>
      <c r="AC9" s="221">
        <f>-AC8*$C$9</f>
        <v>-24490.425489525067</v>
      </c>
      <c r="AD9" s="221"/>
      <c r="AE9" s="221">
        <f>-AE8*$C$9</f>
        <v>-25102.68612676319</v>
      </c>
      <c r="AF9" s="221"/>
      <c r="AG9" s="221">
        <f>-AG8*$C$9</f>
        <v>-25730.253279932269</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4839482.4000000004</v>
      </c>
      <c r="G11" s="223">
        <f>SUM(G4:G10)</f>
        <v>4960469.46</v>
      </c>
      <c r="I11" s="223">
        <f>SUM(I4:I10)</f>
        <v>5084481.1965000005</v>
      </c>
      <c r="K11" s="223">
        <f>SUM(K4:K10)</f>
        <v>5211593.2264124993</v>
      </c>
      <c r="M11" s="223">
        <f>SUM(M4:M10)</f>
        <v>5341883.0570728118</v>
      </c>
      <c r="O11" s="223">
        <f>SUM(O4:O10)</f>
        <v>5475430.1334996317</v>
      </c>
      <c r="Q11" s="223">
        <f>SUM(Q4:Q10)</f>
        <v>5612315.886837122</v>
      </c>
      <c r="S11" s="223">
        <f>SUM(S4:S10)</f>
        <v>5752623.7840080494</v>
      </c>
      <c r="U11" s="223">
        <f>SUM(U4:U10)</f>
        <v>5896439.3786082501</v>
      </c>
      <c r="W11" s="223">
        <f>SUM(W4:W10)</f>
        <v>6043850.3630734561</v>
      </c>
      <c r="Y11" s="223">
        <f>SUM(Y4:Y10)</f>
        <v>6194946.6221502917</v>
      </c>
      <c r="AA11" s="223">
        <f>SUM(AA4:AA10)</f>
        <v>6349820.2877040477</v>
      </c>
      <c r="AC11" s="223">
        <f>SUM(AC4:AC10)</f>
        <v>6508565.7948966483</v>
      </c>
      <c r="AE11" s="223">
        <f>SUM(AE4:AE10)</f>
        <v>6671279.939769065</v>
      </c>
      <c r="AG11" s="223">
        <f>SUM(AG4:AG10)</f>
        <v>6838061.9382632906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94500</v>
      </c>
      <c r="G15" s="219">
        <f>E15*$C$14</f>
        <v>97807.499999999985</v>
      </c>
      <c r="I15" s="219">
        <f>G15*$C$14</f>
        <v>101230.76249999998</v>
      </c>
      <c r="K15" s="219">
        <f>I15*$C$14</f>
        <v>104773.83918749998</v>
      </c>
      <c r="M15" s="219">
        <f>K15*$C$14</f>
        <v>108440.92355906247</v>
      </c>
      <c r="O15" s="219">
        <f>M15*$C$14</f>
        <v>112236.35588362966</v>
      </c>
      <c r="Q15" s="219">
        <f>O15*$C$14</f>
        <v>116164.62833955669</v>
      </c>
      <c r="S15" s="219">
        <f>Q15*$C$14</f>
        <v>120230.39033144116</v>
      </c>
      <c r="U15" s="219">
        <f>S15*$C$14</f>
        <v>124438.45399304159</v>
      </c>
      <c r="W15" s="219">
        <f>U15*$C$14</f>
        <v>128793.79988279803</v>
      </c>
      <c r="Y15" s="219">
        <f>W15*$C$14</f>
        <v>133301.58287869595</v>
      </c>
      <c r="AA15" s="219">
        <f>Y15*$C$14</f>
        <v>137967.1382794503</v>
      </c>
      <c r="AC15" s="219">
        <f>AA15*$C$14</f>
        <v>142795.98811923104</v>
      </c>
      <c r="AE15" s="219">
        <f>AC15*$C$14</f>
        <v>147793.84770340411</v>
      </c>
      <c r="AG15" s="219">
        <f>AE15*$C$14</f>
        <v>152966.63237302325</v>
      </c>
    </row>
    <row r="16" spans="1:34" s="210" customFormat="1" ht="14">
      <c r="A16" s="210" t="s">
        <v>344</v>
      </c>
      <c r="C16" s="233"/>
      <c r="E16" s="222">
        <f>Application!W849</f>
        <v>145843</v>
      </c>
      <c r="F16" s="222"/>
      <c r="G16" s="222">
        <f t="shared" ref="G16:AG21" si="0">E16*$C$14</f>
        <v>150947.50499999998</v>
      </c>
      <c r="H16" s="222"/>
      <c r="I16" s="222">
        <f t="shared" si="0"/>
        <v>156230.66767499998</v>
      </c>
      <c r="J16" s="222"/>
      <c r="K16" s="222">
        <f t="shared" si="0"/>
        <v>161698.74104362496</v>
      </c>
      <c r="L16" s="222"/>
      <c r="M16" s="222">
        <f t="shared" si="0"/>
        <v>167358.19698015181</v>
      </c>
      <c r="N16" s="222"/>
      <c r="O16" s="222">
        <f t="shared" si="0"/>
        <v>173215.7338744571</v>
      </c>
      <c r="P16" s="222"/>
      <c r="Q16" s="222">
        <f t="shared" si="0"/>
        <v>179278.2845600631</v>
      </c>
      <c r="R16" s="222"/>
      <c r="S16" s="222">
        <f t="shared" si="0"/>
        <v>185553.02451966528</v>
      </c>
      <c r="T16" s="222"/>
      <c r="U16" s="222">
        <f t="shared" si="0"/>
        <v>192047.38037785355</v>
      </c>
      <c r="V16" s="222"/>
      <c r="W16" s="222">
        <f t="shared" si="0"/>
        <v>198769.0386910784</v>
      </c>
      <c r="X16" s="222"/>
      <c r="Y16" s="222">
        <f t="shared" si="0"/>
        <v>205725.95504526614</v>
      </c>
      <c r="Z16" s="222"/>
      <c r="AA16" s="222">
        <f t="shared" si="0"/>
        <v>212926.36347185043</v>
      </c>
      <c r="AB16" s="222"/>
      <c r="AC16" s="222">
        <f t="shared" si="0"/>
        <v>220378.78619336517</v>
      </c>
      <c r="AD16" s="222"/>
      <c r="AE16" s="222">
        <f t="shared" si="0"/>
        <v>228092.04371013294</v>
      </c>
      <c r="AF16" s="222"/>
      <c r="AG16" s="222">
        <f t="shared" si="0"/>
        <v>236075.26523998758</v>
      </c>
    </row>
    <row r="17" spans="1:33" s="210" customFormat="1" ht="14">
      <c r="A17" s="210" t="s">
        <v>561</v>
      </c>
      <c r="C17" s="233"/>
      <c r="E17" s="222">
        <f>Application!W855</f>
        <v>310000</v>
      </c>
      <c r="F17" s="222"/>
      <c r="G17" s="222">
        <f t="shared" si="0"/>
        <v>320850</v>
      </c>
      <c r="H17" s="222"/>
      <c r="I17" s="222">
        <f t="shared" si="0"/>
        <v>332079.75</v>
      </c>
      <c r="J17" s="222"/>
      <c r="K17" s="222">
        <f t="shared" si="0"/>
        <v>343702.54124999995</v>
      </c>
      <c r="L17" s="222"/>
      <c r="M17" s="222">
        <f t="shared" si="0"/>
        <v>355732.13019374991</v>
      </c>
      <c r="N17" s="222"/>
      <c r="O17" s="222">
        <f t="shared" si="0"/>
        <v>368182.75475053111</v>
      </c>
      <c r="P17" s="222"/>
      <c r="Q17" s="222">
        <f t="shared" si="0"/>
        <v>381069.15116679965</v>
      </c>
      <c r="R17" s="222"/>
      <c r="S17" s="222">
        <f t="shared" si="0"/>
        <v>394406.57145763759</v>
      </c>
      <c r="T17" s="222"/>
      <c r="U17" s="222">
        <f t="shared" si="0"/>
        <v>408210.80145865487</v>
      </c>
      <c r="V17" s="222"/>
      <c r="W17" s="222">
        <f t="shared" si="0"/>
        <v>422498.17950970773</v>
      </c>
      <c r="X17" s="222"/>
      <c r="Y17" s="222">
        <f t="shared" si="0"/>
        <v>437285.61579254747</v>
      </c>
      <c r="Z17" s="222"/>
      <c r="AA17" s="222">
        <f t="shared" si="0"/>
        <v>452590.61234528659</v>
      </c>
      <c r="AB17" s="222"/>
      <c r="AC17" s="222">
        <f t="shared" si="0"/>
        <v>468431.28377737157</v>
      </c>
      <c r="AD17" s="222"/>
      <c r="AE17" s="222">
        <f t="shared" si="0"/>
        <v>484826.37870957953</v>
      </c>
      <c r="AF17" s="222"/>
      <c r="AG17" s="222">
        <f t="shared" si="0"/>
        <v>501795.30196441477</v>
      </c>
    </row>
    <row r="18" spans="1:33" s="210" customFormat="1" ht="14">
      <c r="A18" s="210" t="s">
        <v>842</v>
      </c>
      <c r="C18" s="233"/>
      <c r="E18" s="222">
        <f>Application!W862</f>
        <v>417357</v>
      </c>
      <c r="F18" s="222"/>
      <c r="G18" s="222">
        <f t="shared" si="0"/>
        <v>431964.495</v>
      </c>
      <c r="H18" s="222"/>
      <c r="I18" s="222">
        <f t="shared" si="0"/>
        <v>447083.25232499995</v>
      </c>
      <c r="J18" s="222"/>
      <c r="K18" s="222">
        <f t="shared" si="0"/>
        <v>462731.16615637491</v>
      </c>
      <c r="L18" s="222"/>
      <c r="M18" s="222">
        <f t="shared" si="0"/>
        <v>478926.75697184796</v>
      </c>
      <c r="N18" s="222"/>
      <c r="O18" s="222">
        <f t="shared" si="0"/>
        <v>495689.1934658626</v>
      </c>
      <c r="P18" s="222"/>
      <c r="Q18" s="222">
        <f t="shared" si="0"/>
        <v>513038.31523716776</v>
      </c>
      <c r="R18" s="222"/>
      <c r="S18" s="222">
        <f t="shared" si="0"/>
        <v>530994.65627046861</v>
      </c>
      <c r="T18" s="222"/>
      <c r="U18" s="222">
        <f t="shared" si="0"/>
        <v>549579.46923993493</v>
      </c>
      <c r="V18" s="222"/>
      <c r="W18" s="222">
        <f t="shared" si="0"/>
        <v>568814.75066333264</v>
      </c>
      <c r="X18" s="222"/>
      <c r="Y18" s="222">
        <f t="shared" si="0"/>
        <v>588723.26693654922</v>
      </c>
      <c r="Z18" s="222"/>
      <c r="AA18" s="222">
        <f t="shared" si="0"/>
        <v>609328.58127932844</v>
      </c>
      <c r="AB18" s="222"/>
      <c r="AC18" s="222">
        <f t="shared" si="0"/>
        <v>630655.08162410487</v>
      </c>
      <c r="AD18" s="222"/>
      <c r="AE18" s="222">
        <f t="shared" si="0"/>
        <v>652728.00948094844</v>
      </c>
      <c r="AF18" s="222"/>
      <c r="AG18" s="222">
        <f t="shared" si="0"/>
        <v>675573.48981278157</v>
      </c>
    </row>
    <row r="19" spans="1:33" s="210" customFormat="1" ht="14">
      <c r="A19" s="210" t="s">
        <v>155</v>
      </c>
      <c r="C19" s="233"/>
      <c r="E19" s="222">
        <f>Application!W863</f>
        <v>105022</v>
      </c>
      <c r="F19" s="222"/>
      <c r="G19" s="222">
        <f t="shared" si="0"/>
        <v>108697.76999999999</v>
      </c>
      <c r="H19" s="222"/>
      <c r="I19" s="222">
        <f t="shared" si="0"/>
        <v>112502.19194999998</v>
      </c>
      <c r="J19" s="222"/>
      <c r="K19" s="222">
        <f t="shared" si="0"/>
        <v>116439.76866824996</v>
      </c>
      <c r="L19" s="222"/>
      <c r="M19" s="222">
        <f t="shared" si="0"/>
        <v>120515.1605716387</v>
      </c>
      <c r="N19" s="222"/>
      <c r="O19" s="222">
        <f t="shared" si="0"/>
        <v>124733.19119164604</v>
      </c>
      <c r="P19" s="222"/>
      <c r="Q19" s="222">
        <f t="shared" si="0"/>
        <v>129098.85288335364</v>
      </c>
      <c r="R19" s="222"/>
      <c r="S19" s="222">
        <f t="shared" si="0"/>
        <v>133617.31273427102</v>
      </c>
      <c r="T19" s="222"/>
      <c r="U19" s="222">
        <f t="shared" si="0"/>
        <v>138293.91867997049</v>
      </c>
      <c r="V19" s="222"/>
      <c r="W19" s="222">
        <f t="shared" si="0"/>
        <v>143134.20583376946</v>
      </c>
      <c r="X19" s="222"/>
      <c r="Y19" s="222">
        <f t="shared" si="0"/>
        <v>148143.90303795139</v>
      </c>
      <c r="Z19" s="222"/>
      <c r="AA19" s="222">
        <f t="shared" si="0"/>
        <v>153328.93964427969</v>
      </c>
      <c r="AB19" s="222"/>
      <c r="AC19" s="222">
        <f t="shared" si="0"/>
        <v>158695.45253182948</v>
      </c>
      <c r="AD19" s="222"/>
      <c r="AE19" s="222">
        <f t="shared" si="0"/>
        <v>164249.79337044348</v>
      </c>
      <c r="AF19" s="222"/>
      <c r="AG19" s="222">
        <f t="shared" si="0"/>
        <v>169998.53613840899</v>
      </c>
    </row>
    <row r="20" spans="1:33" s="210" customFormat="1" ht="14">
      <c r="A20" s="210" t="s">
        <v>390</v>
      </c>
      <c r="C20" s="233"/>
      <c r="E20" s="222">
        <f>Application!W872</f>
        <v>228000</v>
      </c>
      <c r="F20" s="222"/>
      <c r="G20" s="222">
        <f t="shared" si="0"/>
        <v>235979.99999999997</v>
      </c>
      <c r="H20" s="222"/>
      <c r="I20" s="222">
        <f t="shared" si="0"/>
        <v>244239.29999999996</v>
      </c>
      <c r="J20" s="222"/>
      <c r="K20" s="222">
        <f t="shared" si="0"/>
        <v>252787.67549999992</v>
      </c>
      <c r="L20" s="222"/>
      <c r="M20" s="222">
        <f t="shared" si="0"/>
        <v>261635.2441424999</v>
      </c>
      <c r="N20" s="222"/>
      <c r="O20" s="222">
        <f t="shared" si="0"/>
        <v>270792.47768748738</v>
      </c>
      <c r="P20" s="222"/>
      <c r="Q20" s="222">
        <f t="shared" si="0"/>
        <v>280270.21440654941</v>
      </c>
      <c r="R20" s="222"/>
      <c r="S20" s="222">
        <f t="shared" si="0"/>
        <v>290079.67191077862</v>
      </c>
      <c r="T20" s="222"/>
      <c r="U20" s="222">
        <f t="shared" si="0"/>
        <v>300232.46042765584</v>
      </c>
      <c r="V20" s="222"/>
      <c r="W20" s="222">
        <f t="shared" si="0"/>
        <v>310740.59654262377</v>
      </c>
      <c r="X20" s="222"/>
      <c r="Y20" s="222">
        <f t="shared" si="0"/>
        <v>321616.5174216156</v>
      </c>
      <c r="Z20" s="222"/>
      <c r="AA20" s="222">
        <f t="shared" si="0"/>
        <v>332873.09553137212</v>
      </c>
      <c r="AB20" s="222"/>
      <c r="AC20" s="222">
        <f t="shared" si="0"/>
        <v>344523.6538749701</v>
      </c>
      <c r="AD20" s="222"/>
      <c r="AE20" s="222">
        <f t="shared" si="0"/>
        <v>356581.981760594</v>
      </c>
      <c r="AF20" s="222"/>
      <c r="AG20" s="222">
        <f t="shared" si="0"/>
        <v>369062.35112221475</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1300722</v>
      </c>
      <c r="G22" s="223">
        <f>SUM(G15:G21)</f>
        <v>1346247.2699999998</v>
      </c>
      <c r="I22" s="223">
        <f>SUM(I15:I21)</f>
        <v>1393365.9244499998</v>
      </c>
      <c r="K22" s="223">
        <f>SUM(K15:K21)</f>
        <v>1442133.7318057497</v>
      </c>
      <c r="M22" s="223">
        <f>SUM(M15:M21)</f>
        <v>1492608.4124189508</v>
      </c>
      <c r="O22" s="223">
        <f>SUM(O15:O21)</f>
        <v>1544849.706853614</v>
      </c>
      <c r="Q22" s="223">
        <f>SUM(Q15:Q21)</f>
        <v>1598919.4465934902</v>
      </c>
      <c r="S22" s="223">
        <f>SUM(S15:S21)</f>
        <v>1654881.6272242623</v>
      </c>
      <c r="U22" s="223">
        <f>SUM(U15:U21)</f>
        <v>1712802.4841771114</v>
      </c>
      <c r="W22" s="223">
        <f>SUM(W15:W21)</f>
        <v>1772750.5711233099</v>
      </c>
      <c r="Y22" s="223">
        <f>SUM(Y15:Y21)</f>
        <v>1834796.8411126256</v>
      </c>
      <c r="AA22" s="223">
        <f>SUM(AA15:AA21)</f>
        <v>1899014.7305515674</v>
      </c>
      <c r="AC22" s="223">
        <f>SUM(AC15:AC21)</f>
        <v>1965480.2461208722</v>
      </c>
      <c r="AE22" s="223">
        <f>SUM(AE15:AE21)</f>
        <v>2034272.0547351027</v>
      </c>
      <c r="AG22" s="223">
        <f>SUM(AG15:AG21)</f>
        <v>2105471.5766508309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27420</v>
      </c>
      <c r="F27" s="222"/>
      <c r="G27" s="222">
        <f>E27*$C$27</f>
        <v>28379.699999999997</v>
      </c>
      <c r="H27" s="222"/>
      <c r="I27" s="222">
        <f>G27*$C$27</f>
        <v>29372.989499999996</v>
      </c>
      <c r="J27" s="222"/>
      <c r="K27" s="222">
        <f>I27*$C$27</f>
        <v>30401.044132499992</v>
      </c>
      <c r="L27" s="222"/>
      <c r="M27" s="222">
        <f>K27*$C$27</f>
        <v>31465.080677137488</v>
      </c>
      <c r="N27" s="222"/>
      <c r="O27" s="222">
        <f>M27*$C$27</f>
        <v>32566.358500837297</v>
      </c>
      <c r="P27" s="222"/>
      <c r="Q27" s="222">
        <f>O27*$C$27</f>
        <v>33706.181048366598</v>
      </c>
      <c r="R27" s="222"/>
      <c r="S27" s="222">
        <f>Q27*$C$27</f>
        <v>34885.897385059427</v>
      </c>
      <c r="T27" s="222"/>
      <c r="U27" s="222">
        <f>S27*$C$27</f>
        <v>36106.903793536505</v>
      </c>
      <c r="V27" s="222"/>
      <c r="W27" s="222">
        <f>U27*$C$27</f>
        <v>37370.645426310279</v>
      </c>
      <c r="X27" s="222"/>
      <c r="Y27" s="222">
        <f>W27*$C$27</f>
        <v>38678.618016231136</v>
      </c>
      <c r="Z27" s="222"/>
      <c r="AA27" s="222">
        <f>Y27*$C$27</f>
        <v>40032.369646799219</v>
      </c>
      <c r="AB27" s="222"/>
      <c r="AC27" s="222">
        <f>AA27*$C$27</f>
        <v>41433.502584437192</v>
      </c>
      <c r="AD27" s="222"/>
      <c r="AE27" s="222">
        <f>AC27*$C$27</f>
        <v>42883.675174892487</v>
      </c>
      <c r="AF27" s="222"/>
      <c r="AG27" s="222">
        <f>AE27*$C$27</f>
        <v>44384.603806013722</v>
      </c>
    </row>
    <row r="28" spans="1:33" s="210" customFormat="1" ht="14">
      <c r="A28" s="210" t="s">
        <v>846</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1388142</v>
      </c>
      <c r="G35" s="223">
        <f>SUM(G22:G33)</f>
        <v>1434626.9699999997</v>
      </c>
      <c r="I35" s="223">
        <f>SUM(I22:I33)</f>
        <v>1482738.9139499997</v>
      </c>
      <c r="K35" s="223">
        <f>SUM(K22:K33)</f>
        <v>1532534.7759382497</v>
      </c>
      <c r="M35" s="223">
        <f>SUM(M22:M33)</f>
        <v>1584073.4930960883</v>
      </c>
      <c r="O35" s="223">
        <f>SUM(O22:O33)</f>
        <v>1637416.0653544513</v>
      </c>
      <c r="Q35" s="223">
        <f>SUM(Q22:Q33)</f>
        <v>1692625.6276418569</v>
      </c>
      <c r="S35" s="223">
        <f>SUM(S22:S33)</f>
        <v>1749767.5246093217</v>
      </c>
      <c r="U35" s="223">
        <f>SUM(U22:U33)</f>
        <v>1808909.387970648</v>
      </c>
      <c r="W35" s="223">
        <f>SUM(W22:W33)</f>
        <v>1870121.2165496203</v>
      </c>
      <c r="Y35" s="223">
        <f>SUM(Y22:Y33)</f>
        <v>1933475.4591288567</v>
      </c>
      <c r="AA35" s="223">
        <f>SUM(AA22:AA33)</f>
        <v>1999047.1001983667</v>
      </c>
      <c r="AC35" s="223">
        <f>SUM(AC22:AC33)</f>
        <v>2066913.7487053094</v>
      </c>
      <c r="AE35" s="223">
        <f>SUM(AE22:AE33)</f>
        <v>2137155.7299099951</v>
      </c>
      <c r="AG35" s="223">
        <f>SUM(AG22:AG33)</f>
        <v>2209856.1804568446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3451340.4000000004</v>
      </c>
      <c r="G37" s="223">
        <f>G11-G35</f>
        <v>3525842.49</v>
      </c>
      <c r="I37" s="223">
        <f>I11-I35</f>
        <v>3601742.2825500006</v>
      </c>
      <c r="K37" s="223">
        <f>K11-K35</f>
        <v>3679058.4504742497</v>
      </c>
      <c r="M37" s="223">
        <f>M11-M35</f>
        <v>3757809.5639767237</v>
      </c>
      <c r="O37" s="223">
        <f>O11-O35</f>
        <v>3838014.0681451801</v>
      </c>
      <c r="Q37" s="223">
        <f>Q11-Q35</f>
        <v>3919690.2591952654</v>
      </c>
      <c r="S37" s="223">
        <f>S11-S35</f>
        <v>4002856.2593987277</v>
      </c>
      <c r="U37" s="223">
        <f>U11-U35</f>
        <v>4087529.9906376023</v>
      </c>
      <c r="W37" s="223">
        <f>W11-W35</f>
        <v>4173729.1465238361</v>
      </c>
      <c r="Y37" s="223">
        <f>Y11-Y35</f>
        <v>4261471.163021435</v>
      </c>
      <c r="AA37" s="223">
        <f>AA11-AA35</f>
        <v>4350773.1875056811</v>
      </c>
      <c r="AC37" s="223">
        <f>AC11-AC35</f>
        <v>4441652.0461913384</v>
      </c>
      <c r="AE37" s="223">
        <f>AE11-AE35</f>
        <v>4534124.2098590694</v>
      </c>
      <c r="AG37" s="223">
        <f>AG11-AG35</f>
        <v>4628205.7578064464</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3003487</v>
      </c>
      <c r="F40" s="222"/>
      <c r="G40" s="222">
        <f>$E$40</f>
        <v>3003487</v>
      </c>
      <c r="H40" s="222"/>
      <c r="I40" s="222">
        <f>$E$40</f>
        <v>3003487</v>
      </c>
      <c r="J40" s="222"/>
      <c r="K40" s="222">
        <f>$E$40</f>
        <v>3003487</v>
      </c>
      <c r="L40" s="222"/>
      <c r="M40" s="222">
        <f>$E$40</f>
        <v>3003487</v>
      </c>
      <c r="N40" s="222"/>
      <c r="O40" s="222">
        <f>$E$40</f>
        <v>3003487</v>
      </c>
      <c r="P40" s="222"/>
      <c r="Q40" s="222">
        <f>$E$40</f>
        <v>3003487</v>
      </c>
      <c r="R40" s="222"/>
      <c r="S40" s="222">
        <f>$E$40</f>
        <v>3003487</v>
      </c>
      <c r="T40" s="222"/>
      <c r="U40" s="222">
        <f>$E$40</f>
        <v>3003487</v>
      </c>
      <c r="V40" s="222"/>
      <c r="W40" s="222">
        <f>$E$40</f>
        <v>3003487</v>
      </c>
      <c r="X40" s="222"/>
      <c r="Y40" s="222">
        <f>$E$40</f>
        <v>3003487</v>
      </c>
      <c r="Z40" s="222"/>
      <c r="AA40" s="222">
        <f>$E$40</f>
        <v>3003487</v>
      </c>
      <c r="AB40" s="222"/>
      <c r="AC40" s="222">
        <f>$E$40</f>
        <v>3003487</v>
      </c>
      <c r="AD40" s="222"/>
      <c r="AE40" s="222">
        <f>$E$40</f>
        <v>3003487</v>
      </c>
      <c r="AF40" s="222"/>
      <c r="AG40" s="222">
        <f>$E$40</f>
        <v>3003487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3003487</v>
      </c>
      <c r="G43" s="223">
        <f>SUM(G40:G42)</f>
        <v>3003487</v>
      </c>
      <c r="I43" s="223">
        <f>SUM(I40:I42)</f>
        <v>3003487</v>
      </c>
      <c r="K43" s="223">
        <f>SUM(K40:K42)</f>
        <v>3003487</v>
      </c>
      <c r="M43" s="223">
        <f>SUM(M40:M42)</f>
        <v>3003487</v>
      </c>
      <c r="O43" s="223">
        <f>SUM(O40:O42)</f>
        <v>3003487</v>
      </c>
      <c r="Q43" s="223">
        <f>SUM(Q40:Q42)</f>
        <v>3003487</v>
      </c>
      <c r="S43" s="223">
        <f>SUM(S40:S42)</f>
        <v>3003487</v>
      </c>
      <c r="U43" s="223">
        <f>SUM(U40:U42)</f>
        <v>3003487</v>
      </c>
      <c r="W43" s="223">
        <f>SUM(W40:W42)</f>
        <v>3003487</v>
      </c>
      <c r="Y43" s="223">
        <f>SUM(Y40:Y42)</f>
        <v>3003487</v>
      </c>
      <c r="AA43" s="223">
        <f>SUM(AA40:AA42)</f>
        <v>3003487</v>
      </c>
      <c r="AC43" s="223">
        <f>SUM(AC40:AC42)</f>
        <v>3003487</v>
      </c>
      <c r="AE43" s="223">
        <f>SUM(AE40:AE42)</f>
        <v>3003487</v>
      </c>
      <c r="AG43" s="223">
        <f>SUM(AG40:AG42)</f>
        <v>3003487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447853.40000000037</v>
      </c>
      <c r="G45" s="223">
        <f>G37-G43</f>
        <v>522355.49000000022</v>
      </c>
      <c r="I45" s="223">
        <f>I37-I43</f>
        <v>598255.28255000059</v>
      </c>
      <c r="K45" s="223">
        <f>K37-K43</f>
        <v>675571.45047424966</v>
      </c>
      <c r="M45" s="223">
        <f>M37-M43</f>
        <v>754322.5639767237</v>
      </c>
      <c r="O45" s="223">
        <f>O37-O43</f>
        <v>834527.06814518012</v>
      </c>
      <c r="Q45" s="223">
        <f>Q37-Q43</f>
        <v>916203.25919526536</v>
      </c>
      <c r="S45" s="223">
        <f>S37-S43</f>
        <v>999369.25939872768</v>
      </c>
      <c r="U45" s="223">
        <f>U37-U43</f>
        <v>1084042.9906376023</v>
      </c>
      <c r="W45" s="223">
        <f>W37-W43</f>
        <v>1170242.1465238361</v>
      </c>
      <c r="Y45" s="223">
        <f>Y37-Y43</f>
        <v>1257984.163021435</v>
      </c>
      <c r="AA45" s="223">
        <f>AA37-AA43</f>
        <v>1347286.1875056811</v>
      </c>
      <c r="AC45" s="223">
        <f>AC37-AC43</f>
        <v>1438165.0461913384</v>
      </c>
      <c r="AE45" s="223">
        <f>AE37-AE43</f>
        <v>1530637.2098590694</v>
      </c>
      <c r="AG45" s="223">
        <f>AG37-AG43</f>
        <v>1624718.7578064464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8.7914511270874823E-2</v>
      </c>
      <c r="G47" s="227">
        <f>G45/(G4+G6+G8)</f>
        <v>0.10003845795272777</v>
      </c>
      <c r="I47" s="227">
        <f>I45/(I4+I6+I8)</f>
        <v>0.11177984467987216</v>
      </c>
      <c r="K47" s="227">
        <f>K45/(K4+K6+K8)</f>
        <v>0.12314715482741689</v>
      </c>
      <c r="M47" s="227">
        <f>M45/(M4+M6+M8)</f>
        <v>0.1341486565920007</v>
      </c>
      <c r="O47" s="227">
        <f>O45/(O4+O6+O8)</f>
        <v>0.14479240815939351</v>
      </c>
      <c r="Q47" s="227">
        <f>Q45/(Q4+Q6+Q8)</f>
        <v>0.15508626274527484</v>
      </c>
      <c r="S47" s="227">
        <f>S45/(S4+S6+S8)</f>
        <v>0.16503787351226912</v>
      </c>
      <c r="U47" s="227">
        <f>U45/(U4+U6+U8)</f>
        <v>0.17465469836625333</v>
      </c>
      <c r="W47" s="227">
        <f>W45/(W4+W6+W8)</f>
        <v>0.18394400463486996</v>
      </c>
      <c r="Y47" s="227">
        <f>Y45/(Y4+Y6+Y8)</f>
        <v>0.19291287363111201</v>
      </c>
      <c r="AA47" s="227">
        <f>AA45/(AA4+AA6+AA8)</f>
        <v>0.20156820510477597</v>
      </c>
      <c r="AC47" s="227">
        <f>AC45/(AC4+AC6+AC8)</f>
        <v>0.20991672158450794</v>
      </c>
      <c r="AE47" s="227">
        <f>AE45/(AE4+AE6+AE8)</f>
        <v>0.21796497261310427</v>
      </c>
      <c r="AG47" s="227">
        <f>AG45/(AG4+AG6+AG8)</f>
        <v>0.22571933887866086</v>
      </c>
    </row>
    <row r="48" spans="1:33" s="227" customFormat="1" ht="14">
      <c r="A48" s="227" t="s">
        <v>852</v>
      </c>
      <c r="C48" s="220"/>
      <c r="E48" s="227">
        <f>E45/E43</f>
        <v>0.14911114980687459</v>
      </c>
      <c r="G48" s="227">
        <f>G45/G43</f>
        <v>0.17391634789829297</v>
      </c>
      <c r="I48" s="227">
        <f>I45/I43</f>
        <v>0.19918690593633354</v>
      </c>
      <c r="K48" s="227">
        <f>K45/K43</f>
        <v>0.22492904096946306</v>
      </c>
      <c r="M48" s="227">
        <f>M45/M43</f>
        <v>0.25114893587910442</v>
      </c>
      <c r="O48" s="227">
        <f>O45/O43</f>
        <v>0.27785273188969356</v>
      </c>
      <c r="Q48" s="227">
        <f>Q45/Q43</f>
        <v>0.3050465206592422</v>
      </c>
      <c r="S48" s="227">
        <f>S45/S43</f>
        <v>0.33273633593177787</v>
      </c>
      <c r="U48" s="227">
        <f>U45/U43</f>
        <v>0.36092814473230689</v>
      </c>
      <c r="W48" s="227">
        <f>W45/W43</f>
        <v>0.38962783808414553</v>
      </c>
      <c r="Y48" s="227">
        <f>Y45/Y43</f>
        <v>0.41884122122767137</v>
      </c>
      <c r="AA48" s="227">
        <f>AA45/AA43</f>
        <v>0.4485740033187029</v>
      </c>
      <c r="AC48" s="227">
        <f>AC45/AC43</f>
        <v>0.47883178658384018</v>
      </c>
      <c r="AE48" s="227">
        <f>AE45/AE43</f>
        <v>0.50962005490920037</v>
      </c>
      <c r="AG48" s="227">
        <f>AG45/AG43</f>
        <v>0.54094416183803906</v>
      </c>
    </row>
    <row r="49" spans="1:34" s="228" customFormat="1" ht="14">
      <c r="A49" s="228" t="s">
        <v>850</v>
      </c>
      <c r="C49" s="229"/>
      <c r="E49" s="228">
        <f>E37/E43</f>
        <v>1.1491111498068747</v>
      </c>
      <c r="G49" s="228">
        <f>G37/G43</f>
        <v>1.173916347898293</v>
      </c>
      <c r="I49" s="228">
        <f>I37/I43</f>
        <v>1.1991869059363336</v>
      </c>
      <c r="K49" s="228">
        <f>K37/K43</f>
        <v>1.2249290409694631</v>
      </c>
      <c r="M49" s="228">
        <f>M37/M43</f>
        <v>1.2511489358791044</v>
      </c>
      <c r="O49" s="228">
        <f>O37/O43</f>
        <v>1.2778527318896935</v>
      </c>
      <c r="Q49" s="228">
        <f>Q37/Q43</f>
        <v>1.3050465206592421</v>
      </c>
      <c r="S49" s="228">
        <f>S37/S43</f>
        <v>1.3327363359317779</v>
      </c>
      <c r="U49" s="228">
        <f>U37/U43</f>
        <v>1.3609281447323069</v>
      </c>
      <c r="W49" s="228">
        <f>W37/W43</f>
        <v>1.3896278380841456</v>
      </c>
      <c r="Y49" s="228">
        <f>Y37/Y43</f>
        <v>1.4188412212276713</v>
      </c>
      <c r="AA49" s="228">
        <f>AA37/AA43</f>
        <v>1.4485740033187029</v>
      </c>
      <c r="AC49" s="228">
        <f>AC37/AC43</f>
        <v>1.4788317865838403</v>
      </c>
      <c r="AE49" s="228">
        <f>AE37/AE43</f>
        <v>1.5096200549092003</v>
      </c>
      <c r="AG49" s="228">
        <f>AG37/AG43</f>
        <v>1.5409441618380391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2732</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5000</v>
      </c>
      <c r="G53" s="960">
        <f>E53*1.03</f>
        <v>5150</v>
      </c>
      <c r="I53" s="960">
        <f>G53*1.03</f>
        <v>5304.5</v>
      </c>
      <c r="K53" s="960">
        <f>I53*1.03</f>
        <v>5463.6350000000002</v>
      </c>
      <c r="M53" s="960">
        <f>K53*1.03</f>
        <v>5627.5440500000004</v>
      </c>
      <c r="O53" s="960">
        <f>M53*1.03</f>
        <v>5796.3703715000001</v>
      </c>
      <c r="Q53" s="960">
        <f>O53*1.03</f>
        <v>5970.2614826449999</v>
      </c>
      <c r="S53" s="960">
        <f>Q53*1.03</f>
        <v>6149.3693271243501</v>
      </c>
      <c r="U53" s="960">
        <f>S53*1.03</f>
        <v>6333.8504069380806</v>
      </c>
      <c r="W53" s="960">
        <f>U53*1.03</f>
        <v>6523.865919146223</v>
      </c>
      <c r="Y53" s="960">
        <f>W53*1.03</f>
        <v>6719.5818967206096</v>
      </c>
      <c r="AA53" s="960">
        <f>Y53*1.03</f>
        <v>6921.1693536222283</v>
      </c>
      <c r="AC53" s="960">
        <f>AA53*1.03</f>
        <v>7128.8044342308949</v>
      </c>
      <c r="AE53" s="960">
        <f>AC53*1.03</f>
        <v>7342.6685672578224</v>
      </c>
      <c r="AG53" s="960">
        <f>AE53*1.03</f>
        <v>7562.9486242755574</v>
      </c>
    </row>
    <row r="54" spans="1:34" s="3" customFormat="1">
      <c r="A54" s="3" t="s">
        <v>855</v>
      </c>
      <c r="C54" s="958"/>
      <c r="E54" s="965">
        <v>5000</v>
      </c>
      <c r="F54" s="960"/>
      <c r="G54" s="960">
        <f>E54*1.03</f>
        <v>5150</v>
      </c>
      <c r="H54" s="962"/>
      <c r="I54" s="960">
        <f>G54*1.03</f>
        <v>5304.5</v>
      </c>
      <c r="J54" s="962"/>
      <c r="K54" s="960">
        <f>I54*1.03</f>
        <v>5463.6350000000002</v>
      </c>
      <c r="L54" s="962"/>
      <c r="M54" s="960">
        <f>K54*1.03</f>
        <v>5627.5440500000004</v>
      </c>
      <c r="N54" s="962"/>
      <c r="O54" s="960">
        <f>M54*1.03</f>
        <v>5796.3703715000001</v>
      </c>
      <c r="P54" s="962"/>
      <c r="Q54" s="960">
        <f>O54*1.03</f>
        <v>5970.2614826449999</v>
      </c>
      <c r="R54" s="962"/>
      <c r="S54" s="960">
        <f>Q54*1.03</f>
        <v>6149.3693271243501</v>
      </c>
      <c r="T54" s="962"/>
      <c r="U54" s="960">
        <f>S54*1.03</f>
        <v>6333.8504069380806</v>
      </c>
      <c r="V54" s="962"/>
      <c r="W54" s="960">
        <f>U54*1.03</f>
        <v>6523.865919146223</v>
      </c>
      <c r="X54" s="962"/>
      <c r="Y54" s="960">
        <f>W54*1.03</f>
        <v>6719.5818967206096</v>
      </c>
      <c r="Z54" s="962"/>
      <c r="AA54" s="960">
        <f>Y54*1.03</f>
        <v>6921.1693536222283</v>
      </c>
      <c r="AB54" s="962"/>
      <c r="AC54" s="960">
        <f>AA54*1.03</f>
        <v>7128.8044342308949</v>
      </c>
      <c r="AD54" s="962"/>
      <c r="AE54" s="960">
        <f>AC54*1.03</f>
        <v>7342.6685672578224</v>
      </c>
      <c r="AF54" s="962"/>
      <c r="AG54" s="960">
        <f>AE54*1.03</f>
        <v>7562.9486242755574</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437853.40000000037</v>
      </c>
      <c r="G60" s="962">
        <f>G45-G58</f>
        <v>512055.49000000022</v>
      </c>
      <c r="I60" s="962">
        <f>I45-I58</f>
        <v>587646.28255000059</v>
      </c>
      <c r="K60" s="962">
        <f>K45-K58</f>
        <v>664644.18047424965</v>
      </c>
      <c r="M60" s="962">
        <f>M45-M58</f>
        <v>743067.47587672365</v>
      </c>
      <c r="O60" s="962">
        <f>O45-O58</f>
        <v>822934.32740218018</v>
      </c>
      <c r="Q60" s="962">
        <f>Q45-Q58</f>
        <v>904262.73622997536</v>
      </c>
      <c r="S60" s="962">
        <f>S45-S58</f>
        <v>987070.52074447903</v>
      </c>
      <c r="U60" s="962">
        <f>U45-U58</f>
        <v>1071375.2898237261</v>
      </c>
      <c r="W60" s="962">
        <f>W45-W58</f>
        <v>1157194.4146855436</v>
      </c>
      <c r="Y60" s="962">
        <f>Y45-Y58</f>
        <v>1244544.9992279939</v>
      </c>
      <c r="AA60" s="962">
        <f>AA45-AA58</f>
        <v>1333443.8487984366</v>
      </c>
      <c r="AC60" s="962">
        <f>AC45-AC58</f>
        <v>1423907.4373228766</v>
      </c>
      <c r="AE60" s="962">
        <f>AE45-AE58</f>
        <v>1515951.8727245538</v>
      </c>
      <c r="AG60" s="962">
        <f>AG45-AG58</f>
        <v>1609592.8605578954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437853.40000000037</v>
      </c>
      <c r="G62" s="962">
        <f>G60*$C$62</f>
        <v>512055.49000000022</v>
      </c>
      <c r="I62" s="962">
        <f>I60*$C$62</f>
        <v>587646.28255000059</v>
      </c>
      <c r="K62" s="962">
        <f>K60*$C$62</f>
        <v>664644.18047424965</v>
      </c>
      <c r="M62" s="962">
        <f>M60*$C$62</f>
        <v>743067.47587672365</v>
      </c>
      <c r="O62" s="962">
        <f>O60*$C$62</f>
        <v>822934.32740218018</v>
      </c>
      <c r="Q62" s="962">
        <f>Q60*$C$62</f>
        <v>904262.73622997536</v>
      </c>
      <c r="S62" s="962">
        <f>S60*$C$62</f>
        <v>987070.52074447903</v>
      </c>
      <c r="U62" s="962">
        <f>U60*$C$62</f>
        <v>1071375.2898237261</v>
      </c>
      <c r="W62" s="962">
        <f>W60*$C$62</f>
        <v>1157194.4146855436</v>
      </c>
      <c r="Y62" s="962">
        <v>558375</v>
      </c>
      <c r="AA62" s="962">
        <v>0</v>
      </c>
      <c r="AC62" s="962">
        <v>0</v>
      </c>
      <c r="AE62" s="962">
        <v>0</v>
      </c>
      <c r="AG62" s="962">
        <v>0</v>
      </c>
    </row>
    <row r="63" spans="1:34" s="962" customFormat="1">
      <c r="A63" s="2696" t="s">
        <v>2732</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686169.99922799389</v>
      </c>
      <c r="AA72" s="962">
        <f>AA60-AA62-AA70</f>
        <v>1333443.8487984366</v>
      </c>
      <c r="AC72" s="962">
        <f>AC60-AC62-AC70</f>
        <v>1423907.4373228766</v>
      </c>
      <c r="AE72" s="962">
        <f>AE60-AE62-AE70</f>
        <v>1515951.8727245538</v>
      </c>
      <c r="AG72" s="962">
        <f>AG60-AG62-AG70</f>
        <v>1609592.8605578954</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1000000</v>
      </c>
      <c r="C5" s="266">
        <f>'Sources and Uses Budget'!$C4</f>
        <v>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1000000</v>
      </c>
      <c r="C9" s="270">
        <f>SUM(C5:C8)</f>
        <v>1000000</v>
      </c>
      <c r="D9" s="270">
        <f t="shared" si="0"/>
        <v>0</v>
      </c>
      <c r="E9" s="268"/>
      <c r="F9" s="267"/>
    </row>
    <row r="10" spans="1:6" s="352" customFormat="1">
      <c r="A10" s="364" t="s">
        <v>594</v>
      </c>
      <c r="B10" s="266">
        <f>'Sources and Uses Budget'!$C9</f>
        <v>20000000</v>
      </c>
      <c r="C10" s="266">
        <f>'Sources and Uses Budget'!$C9</f>
        <v>20000000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20000000</v>
      </c>
      <c r="C12" s="270">
        <f>SUM(C10:C11)</f>
        <v>20000000</v>
      </c>
      <c r="D12" s="270">
        <f t="shared" si="0"/>
        <v>0</v>
      </c>
      <c r="E12" s="268"/>
      <c r="F12" s="267"/>
    </row>
    <row r="13" spans="1:6" s="352" customFormat="1">
      <c r="A13" s="365" t="s">
        <v>84</v>
      </c>
      <c r="B13" s="270">
        <f>SUM(B9+B12)</f>
        <v>21000000</v>
      </c>
      <c r="C13" s="270">
        <f>SUM(C9+C12)</f>
        <v>21000000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30701755</v>
      </c>
      <c r="C31" s="266">
        <f>'Sources and Uses Budget'!$C30</f>
        <v>30701755</v>
      </c>
      <c r="D31" s="270">
        <f t="shared" si="0"/>
        <v>0</v>
      </c>
      <c r="E31" s="268"/>
      <c r="F31" s="267"/>
    </row>
    <row r="32" spans="1:6" s="352" customFormat="1">
      <c r="A32" s="145" t="s">
        <v>600</v>
      </c>
      <c r="B32" s="266">
        <f>'Sources and Uses Budget'!$C31</f>
        <v>1842105</v>
      </c>
      <c r="C32" s="266">
        <f>'Sources and Uses Budget'!$C31</f>
        <v>1842105</v>
      </c>
      <c r="D32" s="270">
        <f t="shared" si="0"/>
        <v>0</v>
      </c>
      <c r="E32" s="268"/>
      <c r="F32" s="267"/>
    </row>
    <row r="33" spans="1:6" s="352" customFormat="1">
      <c r="A33" s="145" t="s">
        <v>137</v>
      </c>
      <c r="B33" s="266">
        <f>'Sources and Uses Budget'!$C32</f>
        <v>614035</v>
      </c>
      <c r="C33" s="266">
        <f>'Sources and Uses Budget'!$C32</f>
        <v>614035</v>
      </c>
      <c r="D33" s="270">
        <f t="shared" si="0"/>
        <v>0</v>
      </c>
      <c r="E33" s="268"/>
      <c r="F33" s="267"/>
    </row>
    <row r="34" spans="1:6" s="352" customFormat="1">
      <c r="A34" s="145" t="s">
        <v>138</v>
      </c>
      <c r="B34" s="266">
        <f>'Sources and Uses Budget'!$C33</f>
        <v>1842105</v>
      </c>
      <c r="C34" s="266">
        <f>'Sources and Uses Budget'!$C33</f>
        <v>1842105</v>
      </c>
      <c r="D34" s="270">
        <f t="shared" si="0"/>
        <v>0</v>
      </c>
      <c r="E34" s="268"/>
      <c r="F34" s="267"/>
    </row>
    <row r="35" spans="1:6" s="352" customFormat="1">
      <c r="A35" s="145" t="s">
        <v>139</v>
      </c>
      <c r="B35" s="266">
        <f>'Sources and Uses Budget'!$C34</f>
        <v>500000</v>
      </c>
      <c r="C35" s="266">
        <f>'Sources and Uses Budget'!$C34</f>
        <v>500000</v>
      </c>
      <c r="D35" s="270">
        <f t="shared" si="0"/>
        <v>0</v>
      </c>
      <c r="E35" s="268"/>
      <c r="F35" s="267"/>
    </row>
    <row r="36" spans="1:6" s="352" customFormat="1">
      <c r="A36" s="145" t="s">
        <v>140</v>
      </c>
      <c r="B36" s="266">
        <f>'Sources and Uses Budget'!$C35</f>
        <v>500000</v>
      </c>
      <c r="C36" s="266">
        <f>'Sources and Uses Budget'!$C35</f>
        <v>500000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Organization &amp; Construction Accounting</v>
      </c>
      <c r="B38" s="266">
        <f>'Sources and Uses Budget'!$C37</f>
        <v>0</v>
      </c>
      <c r="C38" s="266">
        <f>'Sources and Uses Budget'!$C37</f>
        <v>0</v>
      </c>
      <c r="D38" s="270">
        <f t="shared" si="0"/>
        <v>0</v>
      </c>
      <c r="E38" s="268"/>
      <c r="F38" s="267"/>
    </row>
    <row r="39" spans="1:6" s="352" customFormat="1" ht="13">
      <c r="A39" s="271" t="s">
        <v>143</v>
      </c>
      <c r="B39" s="270">
        <f>SUM(B30:B38)</f>
        <v>36000000</v>
      </c>
      <c r="C39" s="270">
        <f>SUM(C30:C38)</f>
        <v>36000000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1100000</v>
      </c>
      <c r="C41" s="266">
        <f>'Sources and Uses Budget'!$C40</f>
        <v>1100000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1100000</v>
      </c>
      <c r="C43" s="270">
        <f>SUM(C41:C42)</f>
        <v>1100000</v>
      </c>
      <c r="D43" s="270">
        <f t="shared" si="0"/>
        <v>0</v>
      </c>
      <c r="E43" s="268"/>
      <c r="F43" s="267"/>
    </row>
    <row r="44" spans="1:6" s="352" customFormat="1" ht="13">
      <c r="A44" s="271" t="s">
        <v>148</v>
      </c>
      <c r="B44" s="266">
        <f>'Sources and Uses Budget'!$C43</f>
        <v>1100000</v>
      </c>
      <c r="C44" s="266">
        <f>'Sources and Uses Budget'!$C43</f>
        <v>1100000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7033400</v>
      </c>
      <c r="C46" s="266">
        <f>'Sources and Uses Budget'!$C45</f>
        <v>7033400</v>
      </c>
      <c r="D46" s="270">
        <f t="shared" si="0"/>
        <v>0</v>
      </c>
      <c r="E46" s="268"/>
      <c r="F46" s="267"/>
    </row>
    <row r="47" spans="1:6" s="352" customFormat="1">
      <c r="A47" s="145" t="s">
        <v>151</v>
      </c>
      <c r="B47" s="266">
        <f>'Sources and Uses Budget'!$C46</f>
        <v>624300</v>
      </c>
      <c r="C47" s="266">
        <f>'Sources and Uses Budget'!$C46</f>
        <v>624300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200000</v>
      </c>
      <c r="C51" s="266">
        <f>'Sources and Uses Budget'!$C50</f>
        <v>200000</v>
      </c>
      <c r="D51" s="270">
        <f t="shared" si="0"/>
        <v>0</v>
      </c>
      <c r="E51" s="268"/>
      <c r="F51" s="267"/>
    </row>
    <row r="52" spans="1:6" s="352" customFormat="1">
      <c r="A52" s="283" t="s">
        <v>154</v>
      </c>
      <c r="B52" s="266">
        <f>'Sources and Uses Budget'!$C51</f>
        <v>75000</v>
      </c>
      <c r="C52" s="266">
        <f>'Sources and Uses Budget'!$C51</f>
        <v>75000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Inspections</v>
      </c>
      <c r="B54" s="266">
        <f>'Sources and Uses Budget'!$C53</f>
        <v>24000</v>
      </c>
      <c r="C54" s="266">
        <f>'Sources and Uses Budget'!$C53</f>
        <v>24000</v>
      </c>
      <c r="D54" s="270">
        <f t="shared" si="0"/>
        <v>0</v>
      </c>
      <c r="E54" s="268"/>
      <c r="F54" s="267"/>
    </row>
    <row r="55" spans="1:6" s="353" customFormat="1" ht="13">
      <c r="A55" s="271" t="s">
        <v>157</v>
      </c>
      <c r="B55" s="273">
        <f>SUM(B46:B54)</f>
        <v>7956700</v>
      </c>
      <c r="C55" s="273">
        <f>SUM(C46:C54)</f>
        <v>7956700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Costs of Issuance</v>
      </c>
      <c r="B62" s="266">
        <f>'Sources and Uses Budget'!$C61</f>
        <v>154353</v>
      </c>
      <c r="C62" s="266">
        <f>'Sources and Uses Budget'!$C61</f>
        <v>154353</v>
      </c>
      <c r="D62" s="270">
        <f t="shared" si="0"/>
        <v>0</v>
      </c>
      <c r="E62" s="268"/>
      <c r="F62" s="267"/>
    </row>
    <row r="63" spans="1:6" s="352" customFormat="1" ht="13.75" customHeight="1">
      <c r="A63" s="271" t="s">
        <v>301</v>
      </c>
      <c r="B63" s="270">
        <f>SUM(B57:B62)</f>
        <v>154353</v>
      </c>
      <c r="C63" s="270">
        <f>SUM(C57:C62)</f>
        <v>154353</v>
      </c>
      <c r="D63" s="270">
        <f t="shared" si="0"/>
        <v>0</v>
      </c>
      <c r="E63" s="268"/>
      <c r="F63" s="267"/>
    </row>
    <row r="64" spans="1:6" s="352" customFormat="1" ht="13">
      <c r="A64" s="274" t="s">
        <v>302</v>
      </c>
      <c r="B64" s="270">
        <f>SUM(B9+B12+B14+B15+B17+B26+B28+B39+B43+B44+B55+B63)</f>
        <v>67311053</v>
      </c>
      <c r="C64" s="270">
        <f>SUM(C9+C12+C14+C15+C17+C26+C28+C39+C43+C44+C55+C63)</f>
        <v>67311053</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ht="23">
      <c r="A70" s="155" t="str">
        <f>'Sources and Uses Budget'!A69</f>
        <v>Other:Borrower Counsel + Hearthstone Fees / Attorney</v>
      </c>
      <c r="B70" s="266">
        <f>'Sources and Uses Budget'!$C69</f>
        <v>129500</v>
      </c>
      <c r="C70" s="266">
        <f>'Sources and Uses Budget'!$C69</f>
        <v>129500</v>
      </c>
      <c r="D70" s="270">
        <f t="shared" si="0"/>
        <v>0</v>
      </c>
      <c r="E70" s="268"/>
      <c r="F70" s="267"/>
    </row>
    <row r="71" spans="1:6" s="352" customFormat="1">
      <c r="A71" s="149" t="s">
        <v>1645</v>
      </c>
      <c r="B71" s="270">
        <f>SUM(B66:B70)</f>
        <v>189500</v>
      </c>
      <c r="C71" s="270">
        <f>SUM(C66:C70)</f>
        <v>189500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1104837</v>
      </c>
      <c r="C76" s="266">
        <f>'Sources and Uses Budget'!$C75</f>
        <v>1104837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1104837</v>
      </c>
      <c r="C78" s="270">
        <f>SUM(C73:C77)</f>
        <v>1104837</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3500000</v>
      </c>
      <c r="C80" s="266">
        <f>'Sources and Uses Budget'!$C79</f>
        <v>3500000</v>
      </c>
      <c r="D80" s="270">
        <f t="shared" si="1"/>
        <v>0</v>
      </c>
      <c r="E80" s="268"/>
      <c r="F80" s="267"/>
    </row>
    <row r="81" spans="1:6" s="352" customFormat="1">
      <c r="A81" s="510" t="s">
        <v>58</v>
      </c>
      <c r="B81" s="266">
        <f>'Sources and Uses Budget'!$C80</f>
        <v>125000</v>
      </c>
      <c r="C81" s="266">
        <f>'Sources and Uses Budget'!$C80</f>
        <v>125000</v>
      </c>
      <c r="D81" s="270">
        <f>C81-B81</f>
        <v>0</v>
      </c>
      <c r="E81" s="268"/>
      <c r="F81" s="267"/>
    </row>
    <row r="82" spans="1:6" s="352" customFormat="1" ht="13">
      <c r="A82" s="271" t="s">
        <v>1209</v>
      </c>
      <c r="B82" s="270">
        <f>SUM(B80:B81)</f>
        <v>3625000</v>
      </c>
      <c r="C82" s="270">
        <f>SUM(C80:C81)</f>
        <v>3625000</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125918</v>
      </c>
      <c r="C84" s="266">
        <f>'Sources and Uses Budget'!$C83</f>
        <v>125918</v>
      </c>
      <c r="D84" s="270">
        <f t="shared" si="1"/>
        <v>0</v>
      </c>
      <c r="E84" s="268"/>
      <c r="F84" s="267"/>
    </row>
    <row r="85" spans="1:6" s="352" customFormat="1">
      <c r="A85" s="269" t="s">
        <v>767</v>
      </c>
      <c r="B85" s="266">
        <f>'Sources and Uses Budget'!$C84</f>
        <v>48500</v>
      </c>
      <c r="C85" s="266">
        <f>'Sources and Uses Budget'!$C84</f>
        <v>48500</v>
      </c>
      <c r="D85" s="270">
        <f t="shared" si="1"/>
        <v>0</v>
      </c>
      <c r="E85" s="268"/>
      <c r="F85" s="267"/>
    </row>
    <row r="86" spans="1:6" s="352" customFormat="1">
      <c r="A86" s="269" t="s">
        <v>768</v>
      </c>
      <c r="B86" s="266">
        <f>'Sources and Uses Budget'!$C85</f>
        <v>1206061</v>
      </c>
      <c r="C86" s="266">
        <f>'Sources and Uses Budget'!$C85</f>
        <v>1206061</v>
      </c>
      <c r="D86" s="270">
        <f t="shared" si="1"/>
        <v>0</v>
      </c>
      <c r="E86" s="268"/>
      <c r="F86" s="267"/>
    </row>
    <row r="87" spans="1:6" s="352" customFormat="1">
      <c r="A87" s="269" t="s">
        <v>769</v>
      </c>
      <c r="B87" s="266">
        <f>'Sources and Uses Budget'!$C86</f>
        <v>5043939</v>
      </c>
      <c r="C87" s="266">
        <f>'Sources and Uses Budget'!$C86</f>
        <v>5043939</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445980</v>
      </c>
      <c r="C89" s="266">
        <f>'Sources and Uses Budget'!$C88</f>
        <v>445980</v>
      </c>
      <c r="D89" s="270">
        <f t="shared" si="1"/>
        <v>0</v>
      </c>
      <c r="E89" s="268"/>
      <c r="F89" s="267"/>
    </row>
    <row r="90" spans="1:6" s="352" customFormat="1">
      <c r="A90" s="269" t="s">
        <v>772</v>
      </c>
      <c r="B90" s="266">
        <f>'Sources and Uses Budget'!$C89</f>
        <v>550000</v>
      </c>
      <c r="C90" s="266">
        <f>'Sources and Uses Budget'!$C89</f>
        <v>550000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110000</v>
      </c>
      <c r="C92" s="266">
        <f>'Sources and Uses Budget'!$C91</f>
        <v>110000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7550398</v>
      </c>
      <c r="C97" s="270">
        <f>SUM(C84:C96)</f>
        <v>7550398</v>
      </c>
      <c r="D97" s="270">
        <f t="shared" si="1"/>
        <v>0</v>
      </c>
      <c r="E97" s="268"/>
      <c r="F97" s="267"/>
    </row>
    <row r="98" spans="1:6" s="352" customFormat="1" ht="13">
      <c r="A98" s="271" t="s">
        <v>775</v>
      </c>
      <c r="B98" s="270">
        <f>SUM(B64+B71+B78+B82+B97)</f>
        <v>79780788</v>
      </c>
      <c r="C98" s="270">
        <f>SUM(C64+C71+C78+C82+C97)</f>
        <v>79780788</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11116641</v>
      </c>
      <c r="C100" s="266">
        <f>'Sources and Uses Budget'!$C99</f>
        <v>11116641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Legal and Accounting Fees</v>
      </c>
      <c r="B104" s="266">
        <f>'Sources and Uses Budget'!$C103</f>
        <v>0</v>
      </c>
      <c r="C104" s="266">
        <f>'Sources and Uses Budget'!$C103</f>
        <v>0</v>
      </c>
      <c r="D104" s="270">
        <f t="shared" si="1"/>
        <v>0</v>
      </c>
      <c r="E104" s="268"/>
      <c r="F104" s="267"/>
    </row>
    <row r="105" spans="1:6" s="352" customFormat="1" ht="13">
      <c r="A105" s="271" t="s">
        <v>779</v>
      </c>
      <c r="B105" s="270">
        <f>SUM(B100:B104)</f>
        <v>11116641</v>
      </c>
      <c r="C105" s="270">
        <f>SUM(C100:C104)</f>
        <v>11116641</v>
      </c>
      <c r="D105" s="270">
        <f t="shared" si="1"/>
        <v>0</v>
      </c>
      <c r="E105" s="268"/>
      <c r="F105" s="267"/>
    </row>
    <row r="106" spans="1:6" s="352" customFormat="1" ht="13">
      <c r="A106" s="271" t="s">
        <v>780</v>
      </c>
      <c r="B106" s="273">
        <f>SUM(B98+B105)</f>
        <v>90897429</v>
      </c>
      <c r="C106" s="273">
        <f>SUM(C98+C105)</f>
        <v>90897429</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1189</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1190</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1189</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7" t="s">
        <v>2044</v>
      </c>
      <c r="B72" s="1267"/>
      <c r="C72" s="1267"/>
      <c r="D72" s="1267"/>
      <c r="E72" s="1267"/>
    </row>
    <row r="73" spans="1:9" ht="12.5">
      <c r="A73" s="1267" t="s">
        <v>2045</v>
      </c>
      <c r="B73" s="1267"/>
      <c r="C73" s="1267"/>
      <c r="D73" s="1267"/>
      <c r="E73" s="1267"/>
    </row>
    <row r="74" spans="1:9" ht="12.5">
      <c r="A74" s="1267" t="s">
        <v>1870</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8" workbookViewId="0">
      <selection activeCell="B1123" sqref="B112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5"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c r="A15" s="484"/>
      <c r="B15" s="485" t="s">
        <v>2705</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2705</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2706</v>
      </c>
      <c r="D24" s="1283" t="s">
        <v>1091</v>
      </c>
      <c r="E24" s="1283"/>
      <c r="F24" s="1283"/>
      <c r="I24" s="490"/>
    </row>
    <row r="25" spans="1:9">
      <c r="A25" s="484"/>
      <c r="B25" s="484"/>
      <c r="D25" s="1283"/>
      <c r="E25" s="1283"/>
      <c r="F25" s="1283"/>
      <c r="I25" s="490"/>
    </row>
    <row r="26" spans="1:9">
      <c r="I26" s="490"/>
    </row>
    <row r="27" spans="1:9">
      <c r="A27" s="484"/>
      <c r="B27" s="485" t="s">
        <v>2705</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2706</v>
      </c>
      <c r="D33" s="1283" t="s">
        <v>2048</v>
      </c>
      <c r="E33" s="1283"/>
      <c r="F33" s="1283"/>
      <c r="I33" s="490"/>
    </row>
    <row r="34" spans="1:9">
      <c r="D34" s="1283"/>
      <c r="E34" s="1283"/>
      <c r="F34" s="1283"/>
      <c r="I34" s="490"/>
    </row>
    <row r="35" spans="1:9">
      <c r="A35" s="484"/>
      <c r="B35" s="484"/>
      <c r="D35" s="447"/>
      <c r="I35" s="490"/>
    </row>
    <row r="36" spans="1:9" ht="14.5" customHeight="1">
      <c r="A36" s="484"/>
      <c r="B36" s="485" t="s">
        <v>2705</v>
      </c>
      <c r="D36" s="1283" t="s">
        <v>1214</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2706</v>
      </c>
      <c r="D41" s="1283" t="s">
        <v>1092</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2705</v>
      </c>
      <c r="D47" s="1283" t="s">
        <v>1093</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2706</v>
      </c>
      <c r="D52" s="1283" t="s">
        <v>1094</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2705</v>
      </c>
      <c r="D56" s="1307" t="s">
        <v>1095</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2706</v>
      </c>
      <c r="D61" s="1283" t="s">
        <v>1096</v>
      </c>
      <c r="E61" s="1283"/>
      <c r="F61" s="1283"/>
      <c r="I61" s="490"/>
    </row>
    <row r="62" spans="1:9">
      <c r="D62" s="1283"/>
      <c r="E62" s="1283"/>
      <c r="F62" s="1283"/>
      <c r="I62" s="490"/>
    </row>
    <row r="63" spans="1:9">
      <c r="D63" s="1283"/>
      <c r="E63" s="1283"/>
      <c r="F63" s="1283"/>
      <c r="I63" s="490"/>
    </row>
    <row r="64" spans="1:9">
      <c r="I64" s="490"/>
    </row>
    <row r="65" spans="1:9">
      <c r="A65" s="484"/>
      <c r="B65" s="485" t="s">
        <v>2706</v>
      </c>
      <c r="D65" s="1283" t="s">
        <v>1097</v>
      </c>
      <c r="E65" s="1283"/>
      <c r="F65" s="1283"/>
      <c r="I65" s="490"/>
    </row>
    <row r="66" spans="1:9">
      <c r="D66" s="1283"/>
      <c r="E66" s="1283"/>
      <c r="F66" s="1283"/>
      <c r="I66" s="490"/>
    </row>
    <row r="67" spans="1:9">
      <c r="I67" s="490"/>
    </row>
    <row r="68" spans="1:9">
      <c r="A68" s="484"/>
      <c r="B68" s="485" t="s">
        <v>2705</v>
      </c>
      <c r="D68" s="1283" t="s">
        <v>1098</v>
      </c>
      <c r="E68" s="1283"/>
      <c r="F68" s="1283"/>
      <c r="I68" s="490"/>
    </row>
    <row r="69" spans="1:9">
      <c r="D69" s="1283"/>
      <c r="E69" s="1283"/>
      <c r="F69" s="1283"/>
      <c r="I69" s="490"/>
    </row>
    <row r="70" spans="1:9">
      <c r="D70" s="1283"/>
      <c r="E70" s="1283"/>
      <c r="F70" s="1283"/>
      <c r="I70" s="490"/>
    </row>
    <row r="71" spans="1:9">
      <c r="I71" s="490"/>
    </row>
    <row r="72" spans="1:9">
      <c r="A72" s="484"/>
      <c r="B72" s="485" t="s">
        <v>2706</v>
      </c>
      <c r="D72" s="1283" t="s">
        <v>1099</v>
      </c>
      <c r="E72" s="1283"/>
      <c r="F72" s="1283"/>
      <c r="I72" s="490"/>
    </row>
    <row r="73" spans="1:9">
      <c r="D73" s="1283"/>
      <c r="E73" s="1283"/>
      <c r="F73" s="1283"/>
      <c r="I73" s="490"/>
    </row>
    <row r="74" spans="1:9">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5" customHeight="1">
      <c r="A80" s="484"/>
      <c r="B80" s="485" t="s">
        <v>2705</v>
      </c>
      <c r="D80" s="1283" t="s">
        <v>1245</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2705</v>
      </c>
      <c r="D89" s="1283" t="s">
        <v>1742</v>
      </c>
      <c r="E89" s="1283"/>
      <c r="F89" s="1283"/>
      <c r="I89" s="490"/>
    </row>
    <row r="90" spans="1:9">
      <c r="A90" s="484"/>
      <c r="B90" s="484"/>
      <c r="D90" s="1283"/>
      <c r="E90" s="1283"/>
      <c r="F90" s="1283"/>
      <c r="I90" s="490"/>
    </row>
    <row r="91" spans="1:9">
      <c r="A91" s="484"/>
      <c r="B91" s="484"/>
      <c r="D91" s="445"/>
      <c r="E91" s="445"/>
      <c r="F91" s="445"/>
      <c r="I91" s="490"/>
    </row>
    <row r="92" spans="1:9">
      <c r="A92" s="484"/>
      <c r="B92" s="485" t="s">
        <v>2705</v>
      </c>
      <c r="D92" s="1283" t="s">
        <v>1745</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2705</v>
      </c>
      <c r="D96" s="1283" t="s">
        <v>1744</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2706</v>
      </c>
      <c r="D100" s="1283" t="s">
        <v>1743</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2706</v>
      </c>
      <c r="D103" s="1283" t="s">
        <v>1194</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2706</v>
      </c>
      <c r="D119" s="1303" t="s">
        <v>1103</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2705</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2706</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2705</v>
      </c>
      <c r="D137" s="1283" t="s">
        <v>1105</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2706</v>
      </c>
      <c r="D151" s="1283" t="s">
        <v>1177</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2072</v>
      </c>
      <c r="E169" s="1304"/>
      <c r="F169" s="1304"/>
      <c r="G169" s="507"/>
      <c r="I169" s="490"/>
    </row>
    <row r="170" spans="1:9" ht="13.75" customHeight="1">
      <c r="D170" s="1295"/>
      <c r="E170" s="1295"/>
      <c r="F170" s="1295"/>
      <c r="G170" s="1295"/>
      <c r="I170" s="490"/>
    </row>
    <row r="171" spans="1:9" ht="14.5" customHeight="1">
      <c r="A171" s="489"/>
      <c r="B171" s="485" t="s">
        <v>2706</v>
      </c>
      <c r="C171" s="476"/>
      <c r="D171" s="1263" t="s">
        <v>2212</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2706</v>
      </c>
      <c r="C177" s="476"/>
      <c r="D177" s="1263" t="s">
        <v>1106</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2706</v>
      </c>
      <c r="D182" s="1287" t="s">
        <v>2050</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2706</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2706</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2706</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2706</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2706</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c r="A217" s="484"/>
      <c r="B217" s="485" t="s">
        <v>2706</v>
      </c>
      <c r="D217" s="1283" t="s">
        <v>1216</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5" customHeight="1">
      <c r="A227" s="490"/>
      <c r="C227" s="490"/>
      <c r="D227" s="1291" t="s">
        <v>546</v>
      </c>
      <c r="E227" s="1291"/>
      <c r="F227" s="1291"/>
      <c r="I227" s="490"/>
    </row>
    <row r="228" spans="1:9">
      <c r="A228" s="484"/>
      <c r="B228" s="485" t="s">
        <v>2705</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2705</v>
      </c>
      <c r="D233" s="1283" t="s">
        <v>1754</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1118</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2705</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5" customHeight="1">
      <c r="A250" s="484"/>
      <c r="B250" s="485" t="s">
        <v>2706</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2705</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2705</v>
      </c>
      <c r="D259" s="1283" t="s">
        <v>1119</v>
      </c>
      <c r="E259" s="1283"/>
      <c r="F259" s="1283"/>
      <c r="I259" s="490"/>
    </row>
    <row r="260" spans="1:9">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2705</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 customHeight="1">
      <c r="A271" s="484"/>
      <c r="B271" s="485" t="s">
        <v>2706</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2706</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c r="A290" s="484"/>
      <c r="B290" s="485" t="s">
        <v>2706</v>
      </c>
      <c r="D290" s="1283" t="s">
        <v>1125</v>
      </c>
      <c r="E290" s="1283"/>
      <c r="F290" s="1283"/>
      <c r="I290" s="490"/>
    </row>
    <row r="291" spans="1:9">
      <c r="A291" s="484"/>
      <c r="B291" s="484"/>
      <c r="D291" s="1283"/>
      <c r="E291" s="1283"/>
      <c r="F291" s="1283"/>
      <c r="I291" s="490"/>
    </row>
    <row r="292" spans="1:9">
      <c r="D292" s="446"/>
      <c r="E292" s="446"/>
      <c r="F292" s="446"/>
      <c r="I292" s="490"/>
    </row>
    <row r="293" spans="1:9">
      <c r="A293" s="484"/>
      <c r="B293" s="485" t="s">
        <v>2706</v>
      </c>
      <c r="D293" s="1283" t="s">
        <v>1126</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2706</v>
      </c>
      <c r="D297" s="1283" t="s">
        <v>1127</v>
      </c>
      <c r="E297" s="1283"/>
      <c r="F297" s="1283"/>
      <c r="I297" s="490"/>
    </row>
    <row r="298" spans="1:9">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2706</v>
      </c>
      <c r="D305" s="1284" t="s">
        <v>1129</v>
      </c>
      <c r="E305" s="1284"/>
      <c r="F305" s="1284"/>
      <c r="I305" s="490"/>
    </row>
    <row r="306" spans="1:9">
      <c r="A306" s="484"/>
      <c r="B306" s="484"/>
      <c r="D306" s="494"/>
      <c r="E306" s="495"/>
      <c r="F306" s="495"/>
      <c r="I306" s="490"/>
    </row>
    <row r="307" spans="1:9" ht="13.75" customHeight="1">
      <c r="B307" s="485" t="s">
        <v>2706</v>
      </c>
      <c r="D307" s="1293" t="s">
        <v>1219</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2706</v>
      </c>
      <c r="D313" s="1293" t="s">
        <v>1130</v>
      </c>
      <c r="E313" s="1293"/>
      <c r="F313" s="1293"/>
      <c r="I313" s="490"/>
    </row>
    <row r="314" spans="1:9">
      <c r="D314" s="1293"/>
      <c r="E314" s="1293"/>
      <c r="F314" s="1293"/>
      <c r="I314" s="490"/>
    </row>
    <row r="315" spans="1:9">
      <c r="A315" s="484"/>
      <c r="B315" s="484"/>
      <c r="D315" s="494"/>
      <c r="E315" s="495"/>
      <c r="F315" s="495"/>
      <c r="I315" s="490"/>
    </row>
    <row r="316" spans="1:9">
      <c r="B316" s="485" t="s">
        <v>2706</v>
      </c>
      <c r="D316" s="1284" t="s">
        <v>1131</v>
      </c>
      <c r="E316" s="1284"/>
      <c r="F316" s="1284"/>
      <c r="I316" s="490"/>
    </row>
    <row r="317" spans="1:9">
      <c r="E317" s="446"/>
      <c r="F317" s="446"/>
      <c r="I317" s="490"/>
    </row>
    <row r="318" spans="1:9">
      <c r="A318" s="484"/>
      <c r="B318" s="485" t="s">
        <v>2706</v>
      </c>
      <c r="D318" s="1283" t="s">
        <v>2244</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2706</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2706</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2706</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c r="A360" s="484"/>
      <c r="B360" s="485" t="s">
        <v>2706</v>
      </c>
      <c r="C360" s="476"/>
      <c r="D360" s="1295" t="s">
        <v>2056</v>
      </c>
      <c r="E360" s="1295"/>
      <c r="F360" s="1295"/>
      <c r="I360" s="480"/>
    </row>
    <row r="361" spans="1:9">
      <c r="A361" s="476"/>
      <c r="B361" s="476"/>
      <c r="C361" s="476"/>
      <c r="D361" s="447"/>
      <c r="E361" s="447"/>
      <c r="F361" s="446"/>
      <c r="I361" s="490"/>
    </row>
    <row r="362" spans="1:9">
      <c r="A362" s="476"/>
      <c r="B362" s="485" t="s">
        <v>2706</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2706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2706</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2706</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2706</v>
      </c>
      <c r="D423" s="1263" t="s">
        <v>1881</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2706</v>
      </c>
      <c r="C429" s="476"/>
      <c r="D429" s="1263" t="s">
        <v>1240</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2706</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2706</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2706</v>
      </c>
      <c r="C471" s="484"/>
      <c r="D471" s="1283" t="s">
        <v>1197</v>
      </c>
      <c r="E471" s="1283"/>
      <c r="F471" s="1283"/>
      <c r="I471" s="490"/>
    </row>
    <row r="472" spans="1:9">
      <c r="D472" s="1283"/>
      <c r="E472" s="1283"/>
      <c r="F472" s="1283"/>
      <c r="I472" s="490"/>
    </row>
    <row r="473" spans="1:9">
      <c r="D473" s="446"/>
      <c r="E473" s="446"/>
      <c r="F473" s="446"/>
      <c r="I473" s="490"/>
    </row>
    <row r="474" spans="1:9">
      <c r="B474" s="485" t="s">
        <v>2706</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2706</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2706</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2706</v>
      </c>
      <c r="C486" s="402"/>
      <c r="D486" s="1283"/>
      <c r="E486" s="1283"/>
      <c r="F486" s="1283"/>
      <c r="I486" s="490"/>
    </row>
    <row r="487" spans="1:9">
      <c r="A487" s="402"/>
      <c r="C487" s="402"/>
      <c r="D487" s="1283"/>
      <c r="E487" s="1283"/>
      <c r="F487" s="1283"/>
      <c r="I487" s="490"/>
    </row>
    <row r="488" spans="1:9">
      <c r="A488" s="402"/>
      <c r="B488" s="485" t="s">
        <v>2706</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2706</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c r="A499" s="484"/>
      <c r="B499" s="484"/>
      <c r="D499" s="1295" t="s">
        <v>1141</v>
      </c>
      <c r="E499" s="1295"/>
      <c r="F499" s="1295"/>
      <c r="I499" s="490"/>
    </row>
    <row r="500" spans="1:9">
      <c r="A500" s="484"/>
      <c r="B500" s="484"/>
      <c r="D500" s="447"/>
      <c r="I500" s="490"/>
    </row>
    <row r="501" spans="1:9">
      <c r="A501" s="484"/>
      <c r="B501" s="485" t="s">
        <v>2706</v>
      </c>
      <c r="D501" s="1263" t="s">
        <v>1142</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2706</v>
      </c>
      <c r="D504" s="1287" t="s">
        <v>1273</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2706</v>
      </c>
      <c r="D509" s="1284" t="s">
        <v>1143</v>
      </c>
      <c r="E509" s="1284"/>
      <c r="F509" s="1284"/>
      <c r="I509" s="490"/>
    </row>
    <row r="510" spans="1:9">
      <c r="A510" s="484"/>
      <c r="B510" s="484"/>
      <c r="D510" s="446"/>
      <c r="I510" s="490"/>
    </row>
    <row r="511" spans="1:9">
      <c r="A511" s="484"/>
      <c r="B511" s="485" t="s">
        <v>2706</v>
      </c>
      <c r="D511" s="1283" t="s">
        <v>1144</v>
      </c>
      <c r="E511" s="1283"/>
      <c r="F511" s="1283"/>
      <c r="I511" s="490"/>
    </row>
    <row r="512" spans="1:9">
      <c r="A512" s="484"/>
      <c r="D512" s="1283"/>
      <c r="E512" s="1283"/>
      <c r="F512" s="1283"/>
      <c r="I512" s="490"/>
    </row>
    <row r="513" spans="1:9">
      <c r="A513" s="490"/>
      <c r="B513" s="490"/>
      <c r="D513" s="447"/>
      <c r="I513" s="490"/>
    </row>
    <row r="514" spans="1:9">
      <c r="A514" s="490"/>
      <c r="B514" s="485" t="s">
        <v>2706</v>
      </c>
      <c r="D514" s="1284" t="s">
        <v>1145</v>
      </c>
      <c r="E514" s="1284"/>
      <c r="F514" s="1284"/>
      <c r="I514" s="490"/>
    </row>
    <row r="515" spans="1:9">
      <c r="D515" s="446"/>
      <c r="E515" s="446"/>
      <c r="F515" s="446"/>
      <c r="I515" s="490"/>
    </row>
    <row r="516" spans="1:9">
      <c r="B516" s="485" t="s">
        <v>2706</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2705</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2705</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2706</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5" customHeight="1">
      <c r="A548" s="484"/>
      <c r="B548" s="485" t="s">
        <v>2705</v>
      </c>
      <c r="C548" s="487"/>
      <c r="D548" s="1284" t="s">
        <v>884</v>
      </c>
      <c r="E548" s="1284"/>
      <c r="F548" s="1284"/>
      <c r="I548" s="490"/>
    </row>
    <row r="549" spans="1:9" ht="13.75" customHeight="1">
      <c r="A549" s="487"/>
      <c r="B549" s="487"/>
      <c r="C549" s="487"/>
      <c r="D549" s="446"/>
      <c r="I549" s="490"/>
    </row>
    <row r="550" spans="1:9">
      <c r="A550" s="484"/>
      <c r="B550" s="485" t="s">
        <v>2705</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2705</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2705</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2705</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2706</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2706</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2705</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2705</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2705</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2705</v>
      </c>
      <c r="D588" s="1287" t="s">
        <v>888</v>
      </c>
      <c r="E588" s="1287"/>
      <c r="F588" s="1287"/>
      <c r="I588" s="490"/>
    </row>
    <row r="589" spans="1:9">
      <c r="A589" s="490"/>
      <c r="B589" s="490"/>
      <c r="D589" s="476"/>
      <c r="I589" s="490"/>
    </row>
    <row r="590" spans="1:9">
      <c r="A590" s="490"/>
      <c r="B590" s="485" t="s">
        <v>2705</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2706</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2705</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2706</v>
      </c>
      <c r="D602" s="1287" t="s">
        <v>1069</v>
      </c>
      <c r="E602" s="1287"/>
      <c r="F602" s="1287"/>
      <c r="I602" s="490"/>
    </row>
    <row r="603" spans="1:9">
      <c r="A603" s="490"/>
      <c r="B603" s="490"/>
      <c r="D603" s="1287"/>
      <c r="E603" s="1287"/>
      <c r="F603" s="1287"/>
      <c r="I603" s="490"/>
    </row>
    <row r="604" spans="1:9">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2705</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2705</v>
      </c>
      <c r="D620" s="1308" t="s">
        <v>1111</v>
      </c>
      <c r="E620" s="1308"/>
      <c r="F620" s="1308"/>
      <c r="I620" s="490"/>
    </row>
    <row r="621" spans="1:9">
      <c r="D621" s="1308"/>
      <c r="E621" s="1308"/>
      <c r="F621" s="1308"/>
      <c r="I621" s="490"/>
    </row>
    <row r="622" spans="1:9">
      <c r="I622" s="490"/>
    </row>
    <row r="623" spans="1:9">
      <c r="B623" s="485" t="s">
        <v>2705</v>
      </c>
      <c r="D623" s="1308" t="s">
        <v>1112</v>
      </c>
      <c r="E623" s="1308"/>
      <c r="F623" s="1308"/>
      <c r="I623" s="490"/>
    </row>
    <row r="624" spans="1:9">
      <c r="C624" s="500"/>
      <c r="D624" s="1308"/>
      <c r="E624" s="1308"/>
      <c r="F624" s="1308"/>
      <c r="I624" s="490"/>
    </row>
    <row r="625" spans="1:9">
      <c r="C625" s="500"/>
      <c r="I625" s="490"/>
    </row>
    <row r="626" spans="1:9">
      <c r="B626" s="485" t="s">
        <v>2706</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2705</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2706</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2706</v>
      </c>
      <c r="C643" s="487"/>
      <c r="D643" s="1283" t="s">
        <v>1225</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2706</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2705</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2706</v>
      </c>
      <c r="C658" s="487"/>
      <c r="D658" s="1283" t="s">
        <v>1283</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2706</v>
      </c>
      <c r="C664" s="487"/>
      <c r="D664" s="1283" t="s">
        <v>1282</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2706</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c r="A685" s="484"/>
      <c r="B685" s="485" t="s">
        <v>2705</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2706</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2705</v>
      </c>
      <c r="C694" s="483"/>
      <c r="D694" s="1284" t="s">
        <v>917</v>
      </c>
      <c r="E694" s="1284"/>
      <c r="F694" s="1284"/>
      <c r="H694" s="501"/>
      <c r="I694" s="483"/>
      <c r="J694" s="501"/>
      <c r="K694" s="501"/>
    </row>
    <row r="695" spans="1:11">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2706</v>
      </c>
      <c r="C698" s="483"/>
      <c r="D698" s="1284" t="s">
        <v>2468</v>
      </c>
      <c r="E698" s="1284"/>
      <c r="F698" s="1284"/>
      <c r="H698" s="501"/>
      <c r="I698" s="483"/>
      <c r="J698" s="501"/>
      <c r="K698" s="501"/>
    </row>
    <row r="699" spans="1:11">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2706</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2706</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2706</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2706</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2706</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2706</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2706</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2706</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c r="A758" s="484"/>
      <c r="B758" s="485" t="s">
        <v>2705</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2706</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2705</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2706</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2706</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2705</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2706</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2706</v>
      </c>
      <c r="C794" s="989"/>
      <c r="D794" s="1316" t="s">
        <v>1758</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2706</v>
      </c>
      <c r="C798" s="989"/>
      <c r="D798" s="1316" t="s">
        <v>1759</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1802</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2706</v>
      </c>
      <c r="C808" s="989"/>
      <c r="D808" s="1316" t="s">
        <v>1760</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2706</v>
      </c>
      <c r="C815" s="989"/>
      <c r="D815" s="1316" t="s">
        <v>1761</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2706</v>
      </c>
      <c r="C822" s="989"/>
      <c r="D822" s="1288" t="s">
        <v>1762</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2705</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2705</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2706</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2706</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2706</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2705</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2705</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2706</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2706</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2706</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2705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2705</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2705</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2706</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2706</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2706</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2706</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2705</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2705</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2705</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2706</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2706</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2706</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2706</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2705</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2706</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2706</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2706</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2706</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2705</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2705</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2706</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2706</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2706</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2706</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2705</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2706</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2706</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2705</v>
      </c>
      <c r="C1062" s="402"/>
      <c r="D1062" s="402" t="s">
        <v>1812</v>
      </c>
      <c r="I1062" s="490"/>
    </row>
    <row r="1063" spans="1:9">
      <c r="A1063" s="402"/>
      <c r="B1063" s="402"/>
      <c r="C1063" s="402"/>
      <c r="I1063" s="490"/>
    </row>
    <row r="1064" spans="1:9">
      <c r="A1064" s="402"/>
      <c r="B1064" s="485" t="s">
        <v>2706</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2705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2705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2706</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2706</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2706</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2706</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2706</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2706</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2706</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2705</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2706</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96" zoomScale="80" zoomScaleNormal="80" workbookViewId="0">
      <selection activeCell="AG391" sqref="AG391:AJ391"/>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 xml:space="preserve">Coastal (Monterey, Napa, Orange, San Benito, San Diego, San Luis Obispo, Santa Barbara, Sonoma, and Ventura Counties) </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20</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2509</v>
      </c>
      <c r="BE8" s="1249">
        <f>SUMIF($AC$718:$AC$752,"&lt;=35%",$G$718:G$752)-SUM($BE$5:BE7)</f>
        <v>0</v>
      </c>
    </row>
    <row r="9" spans="1:58" ht="13" customHeight="1">
      <c r="A9" s="1837" t="s">
        <v>2076</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2501</v>
      </c>
      <c r="BE9" s="1249">
        <f>SUMIF($AC$718:$AC$752,"&lt;=40%",$G$718:G$752)-SUM($BE$5:BE8)</f>
        <v>0</v>
      </c>
    </row>
    <row r="10" spans="1:58" ht="13" customHeight="1">
      <c r="A10" s="1837" t="s">
        <v>2458</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2510</v>
      </c>
      <c r="BE10" s="1249">
        <f>SUMIF($AC$718:$AC$752,"&lt;=45%",$G$718:G$752)-SUM($BE$5:BE9)</f>
        <v>0</v>
      </c>
    </row>
    <row r="11" spans="1:58" ht="13" customHeight="1">
      <c r="A11" s="1837" t="s">
        <v>2604</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2502</v>
      </c>
      <c r="BE11" s="1249">
        <f>SUMIF($AC$718:$AC$752,"&lt;=50%",$G$718:G$752)-SUM($BE$5:BE10)</f>
        <v>20</v>
      </c>
    </row>
    <row r="12" spans="1:58" ht="13" customHeight="1">
      <c r="A12" s="1838" t="s">
        <v>2610</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2511</v>
      </c>
      <c r="BE12" s="1249">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121</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37</v>
      </c>
    </row>
    <row r="16" spans="1:58" ht="13" customHeight="1">
      <c r="A16" s="57" t="s">
        <v>2078</v>
      </c>
      <c r="C16" s="4"/>
      <c r="D16" s="4"/>
      <c r="E16" s="4"/>
      <c r="F16" s="4"/>
      <c r="G16" s="4"/>
      <c r="H16" s="1567" t="s">
        <v>2612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656</v>
      </c>
      <c r="BE16" s="1249" t="str">
        <f>Application!H18</f>
        <v>707 by Vintage</v>
      </c>
    </row>
    <row r="17" spans="1:58" ht="13" customHeight="1">
      <c r="BD17" s="1247" t="s">
        <v>2518</v>
      </c>
      <c r="BE17" s="1249">
        <f>Application!AA934</f>
        <v>0</v>
      </c>
    </row>
    <row r="18" spans="1:58" ht="13" customHeight="1">
      <c r="A18" s="57" t="s">
        <v>101</v>
      </c>
      <c r="C18" s="4"/>
      <c r="D18" s="4"/>
      <c r="E18" s="4"/>
      <c r="F18" s="4"/>
      <c r="G18" s="4"/>
      <c r="H18" s="1527" t="s">
        <v>2685</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BD18" s="1248" t="s">
        <v>2519</v>
      </c>
      <c r="BE18" s="1249">
        <f>'CalHFA Addendum'!N11</f>
        <v>0</v>
      </c>
    </row>
    <row r="19" spans="1:58" ht="13" customHeight="1">
      <c r="BD19" s="1247" t="s">
        <v>2520</v>
      </c>
      <c r="BE19" s="1249">
        <f>Application!M26</f>
        <v>4155834</v>
      </c>
    </row>
    <row r="20" spans="1:58" ht="13"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2521</v>
      </c>
      <c r="BE20" s="1249">
        <f>Application!M27</f>
        <v>0</v>
      </c>
    </row>
    <row r="21" spans="1:58" ht="13"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2522</v>
      </c>
      <c r="BE21" s="1249">
        <f>Application!AM554</f>
        <v>24000000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90897429</v>
      </c>
      <c r="BF22" s="3" t="s">
        <v>2595</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1000000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105894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841">
        <f>'Basis &amp; Credits'!AB56</f>
        <v>4155834</v>
      </c>
      <c r="N26" s="1841"/>
      <c r="O26" s="1841"/>
      <c r="P26" s="1841"/>
      <c r="Q26" s="1841"/>
      <c r="R26" s="4" t="s">
        <v>759</v>
      </c>
      <c r="S26" s="4"/>
      <c r="T26" s="4"/>
      <c r="U26" s="4"/>
      <c r="V26" s="4"/>
      <c r="W26" s="4"/>
      <c r="X26" s="4"/>
      <c r="Y26" s="4"/>
      <c r="Z26" s="4"/>
      <c r="AF26" s="4"/>
      <c r="AG26" s="4"/>
      <c r="AH26" s="4"/>
      <c r="AI26" s="4"/>
      <c r="AJ26" s="4"/>
      <c r="AK26" s="4"/>
      <c r="BD26" s="1248" t="s">
        <v>1639</v>
      </c>
      <c r="BE26" s="1249" t="b">
        <f>Application!M356="Yes"</f>
        <v>1</v>
      </c>
    </row>
    <row r="27" spans="1:58" ht="13" customHeight="1">
      <c r="A27" s="4"/>
      <c r="C27" s="4"/>
      <c r="D27" s="4"/>
      <c r="E27" s="4"/>
      <c r="F27" s="4"/>
      <c r="G27" s="4"/>
      <c r="H27" s="4"/>
      <c r="I27" s="4"/>
      <c r="J27" s="4"/>
      <c r="K27" s="4"/>
      <c r="L27" s="4"/>
      <c r="M27" s="1374">
        <f>'Basis &amp; Credits'!AB78</f>
        <v>0</v>
      </c>
      <c r="N27" s="1374"/>
      <c r="O27" s="1374"/>
      <c r="P27" s="1374"/>
      <c r="Q27" s="1374"/>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61" t="s">
        <v>2147</v>
      </c>
      <c r="B29" s="1561"/>
      <c r="C29" s="1561"/>
      <c r="D29" s="1561"/>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c r="AQ29" s="1561"/>
      <c r="AR29" s="1561"/>
      <c r="AS29" s="1561"/>
      <c r="AT29" s="1561"/>
      <c r="BD29" s="1247" t="s">
        <v>2527</v>
      </c>
      <c r="BE29" s="1249" t="b">
        <f>Application!M358="Yes"</f>
        <v>0</v>
      </c>
    </row>
    <row r="30" spans="1:58" ht="13" customHeight="1">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1561"/>
      <c r="AO30" s="1561"/>
      <c r="AP30" s="1561"/>
      <c r="AQ30" s="1561"/>
      <c r="AR30" s="1561"/>
      <c r="AS30" s="1561"/>
      <c r="AT30" s="1561"/>
      <c r="AZ30" s="20"/>
      <c r="BD30" s="1248" t="s">
        <v>28</v>
      </c>
      <c r="BE30" s="1249" t="b">
        <f>Application!AJ355="Yes"</f>
        <v>0</v>
      </c>
    </row>
    <row r="31" spans="1:58" ht="13" customHeight="1">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c r="AP31" s="1561"/>
      <c r="AQ31" s="1561"/>
      <c r="AR31" s="1561"/>
      <c r="AS31" s="1561"/>
      <c r="AT31" s="1561"/>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76" t="s">
        <v>669</v>
      </c>
      <c r="P33" s="1476"/>
      <c r="Q33" s="1840" t="s">
        <v>2148</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2596</v>
      </c>
      <c r="BE33" s="1249" t="str">
        <f>Application!D220</f>
        <v>San Diego County</v>
      </c>
    </row>
    <row r="34" spans="1:57" ht="13" customHeight="1">
      <c r="A34" s="1561" t="s">
        <v>2149</v>
      </c>
      <c r="B34" s="1561"/>
      <c r="C34" s="1561"/>
      <c r="D34" s="1561"/>
      <c r="E34" s="1561"/>
      <c r="F34" s="1561"/>
      <c r="G34" s="1561"/>
      <c r="H34" s="1561"/>
      <c r="I34" s="1561"/>
      <c r="J34" s="1561"/>
      <c r="K34" s="1561"/>
      <c r="L34" s="1561"/>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c r="AP34" s="1561"/>
      <c r="AQ34" s="1561"/>
      <c r="AR34" s="1561"/>
      <c r="AS34" s="1561"/>
      <c r="AT34" s="1561"/>
      <c r="AU34" s="20"/>
      <c r="AV34" s="20"/>
      <c r="AW34" s="20"/>
      <c r="AX34" s="20"/>
      <c r="AY34" s="20"/>
      <c r="AZ34" s="20"/>
      <c r="BD34" s="1248" t="s">
        <v>2530</v>
      </c>
      <c r="BE34" s="1249" t="str">
        <f>Application!I185</f>
        <v xml:space="preserve">707 Broadway </v>
      </c>
    </row>
    <row r="35" spans="1:57" ht="13" customHeight="1">
      <c r="A35" s="1561"/>
      <c r="B35" s="1561"/>
      <c r="C35" s="1561"/>
      <c r="D35" s="1561"/>
      <c r="E35" s="1561"/>
      <c r="F35" s="1561"/>
      <c r="G35" s="1561"/>
      <c r="H35" s="1561"/>
      <c r="I35" s="1561"/>
      <c r="J35" s="1561"/>
      <c r="K35" s="1561"/>
      <c r="L35" s="1561"/>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1561"/>
      <c r="AO35" s="1561"/>
      <c r="AP35" s="1561"/>
      <c r="AQ35" s="1561"/>
      <c r="AR35" s="1561"/>
      <c r="AS35" s="1561"/>
      <c r="AT35" s="1561"/>
      <c r="AU35" s="20"/>
      <c r="AV35" s="20"/>
      <c r="AW35" s="20"/>
      <c r="AX35" s="20"/>
      <c r="AY35" s="20"/>
      <c r="AZ35" s="20"/>
      <c r="BD35" s="1247" t="s">
        <v>2531</v>
      </c>
      <c r="BE35" s="1249" t="str">
        <f>IF(Application!E187="","",Application!E187)</f>
        <v/>
      </c>
    </row>
    <row r="36" spans="1:57" ht="13" customHeight="1">
      <c r="A36" s="1561"/>
      <c r="B36" s="1561"/>
      <c r="C36" s="1561"/>
      <c r="D36" s="1561"/>
      <c r="E36" s="1561"/>
      <c r="F36" s="1561"/>
      <c r="G36" s="1561"/>
      <c r="H36" s="1561"/>
      <c r="I36" s="1561"/>
      <c r="J36" s="1561"/>
      <c r="K36" s="1561"/>
      <c r="L36" s="1561"/>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c r="AN36" s="1561"/>
      <c r="AO36" s="1561"/>
      <c r="AP36" s="1561"/>
      <c r="AQ36" s="1561"/>
      <c r="AR36" s="1561"/>
      <c r="AS36" s="1561"/>
      <c r="AT36" s="1561"/>
      <c r="AU36" s="20"/>
      <c r="AV36" s="20"/>
      <c r="AW36" s="20"/>
      <c r="AX36" s="20"/>
      <c r="AY36" s="20"/>
      <c r="AZ36" s="20"/>
      <c r="BD36" s="1248" t="s">
        <v>2532</v>
      </c>
      <c r="BE36" s="1249" t="str">
        <f>Application!I189</f>
        <v xml:space="preserve">San Diego </v>
      </c>
    </row>
    <row r="37" spans="1:57" ht="13" customHeight="1">
      <c r="A37" s="1561"/>
      <c r="B37" s="1561"/>
      <c r="C37" s="1561"/>
      <c r="D37" s="1561"/>
      <c r="E37" s="1561"/>
      <c r="F37" s="1561"/>
      <c r="G37" s="1561"/>
      <c r="H37" s="1561"/>
      <c r="I37" s="1561"/>
      <c r="J37" s="1561"/>
      <c r="K37" s="1561"/>
      <c r="L37" s="1561"/>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c r="AN37" s="1561"/>
      <c r="AO37" s="1561"/>
      <c r="AP37" s="1561"/>
      <c r="AQ37" s="1561"/>
      <c r="AR37" s="1561"/>
      <c r="AS37" s="1561"/>
      <c r="AT37" s="1561"/>
      <c r="AZ37" s="20"/>
      <c r="BD37" s="1247" t="s">
        <v>2533</v>
      </c>
      <c r="BE37" s="1249" t="str">
        <f>Application!T189</f>
        <v>San Diego</v>
      </c>
    </row>
    <row r="38" spans="1:57" ht="13" customHeight="1">
      <c r="A38" s="3"/>
      <c r="AZ38" s="20"/>
      <c r="BD38" s="1248" t="s">
        <v>2534</v>
      </c>
      <c r="BE38" s="1249">
        <f>Application!I190</f>
        <v>92101</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200</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198</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0.59696969696969693</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0.59700120057940165</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454487.14500000002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Vintage Housing Holdings,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Michael Gancar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Hearthstone/PWC JV,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Socorro Vasquez</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Hearthstone Housing Foundation</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Vintage Housing Development,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3569 San Miguel Drive, Suite 135</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Newport Beach, CA 92660</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 xml:space="preserve">Michael Gancar </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mgancar@vintagehousing.com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3" customHeight="1">
      <c r="A65" s="1543" t="s">
        <v>2156</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2593</v>
      </c>
      <c r="BE65" s="1249" t="str">
        <f>Z205</f>
        <v>$500M</v>
      </c>
    </row>
    <row r="66" spans="1:57" ht="13"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2558</v>
      </c>
      <c r="BE66" s="1249" t="b">
        <f>Application!Z205="State Farmworker Credit"</f>
        <v>0</v>
      </c>
    </row>
    <row r="67" spans="1:57" ht="13"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43" t="s">
        <v>2157</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2561</v>
      </c>
      <c r="BE69" s="1249" t="str">
        <f>Application!W700</f>
        <v>California Municipal Finance Authority</v>
      </c>
    </row>
    <row r="70" spans="1:57" ht="13"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61" t="s">
        <v>2158</v>
      </c>
      <c r="B72" s="1561"/>
      <c r="C72" s="1561"/>
      <c r="D72" s="1561"/>
      <c r="E72" s="1561"/>
      <c r="F72" s="1561"/>
      <c r="G72" s="1561"/>
      <c r="H72" s="1561"/>
      <c r="I72" s="1561"/>
      <c r="J72" s="1561"/>
      <c r="K72" s="1561"/>
      <c r="L72" s="1561"/>
      <c r="M72" s="1561"/>
      <c r="N72" s="1561"/>
      <c r="O72" s="1561"/>
      <c r="P72" s="1561"/>
      <c r="Q72" s="1561"/>
      <c r="R72" s="1561"/>
      <c r="S72" s="1561"/>
      <c r="T72" s="1561"/>
      <c r="U72" s="1561"/>
      <c r="V72" s="1561"/>
      <c r="W72" s="1561"/>
      <c r="X72" s="1561"/>
      <c r="Y72" s="1561"/>
      <c r="Z72" s="1561"/>
      <c r="AA72" s="1561"/>
      <c r="AB72" s="1561"/>
      <c r="AC72" s="1561"/>
      <c r="AD72" s="1561"/>
      <c r="AE72" s="1561"/>
      <c r="AF72" s="1561"/>
      <c r="AG72" s="1561"/>
      <c r="AH72" s="1561"/>
      <c r="AI72" s="1561"/>
      <c r="AJ72" s="1561"/>
      <c r="AK72" s="1561"/>
      <c r="AL72" s="1561"/>
      <c r="AM72" s="1561"/>
      <c r="AN72" s="1561"/>
      <c r="AO72" s="1561"/>
      <c r="AP72" s="1561"/>
      <c r="AQ72" s="1561"/>
      <c r="AR72" s="1561"/>
      <c r="AS72" s="1561"/>
      <c r="AT72" s="1561"/>
      <c r="AU72" s="20"/>
      <c r="AV72" s="20"/>
      <c r="AW72" s="20"/>
      <c r="AX72" s="20"/>
      <c r="AY72" s="20"/>
      <c r="AZ72" s="20"/>
      <c r="BD72" s="1248" t="s">
        <v>2564</v>
      </c>
      <c r="BE72" s="1249">
        <f>'Points System'!AF805</f>
        <v>10</v>
      </c>
    </row>
    <row r="73" spans="1:57" ht="13" customHeight="1">
      <c r="A73" s="1561"/>
      <c r="B73" s="1561"/>
      <c r="C73" s="1561"/>
      <c r="D73" s="1561"/>
      <c r="E73" s="1561"/>
      <c r="F73" s="1561"/>
      <c r="G73" s="1561"/>
      <c r="H73" s="1561"/>
      <c r="I73" s="1561"/>
      <c r="J73" s="1561"/>
      <c r="K73" s="1561"/>
      <c r="L73" s="1561"/>
      <c r="M73" s="1561"/>
      <c r="N73" s="1561"/>
      <c r="O73" s="1561"/>
      <c r="P73" s="1561"/>
      <c r="Q73" s="1561"/>
      <c r="R73" s="1561"/>
      <c r="S73" s="1561"/>
      <c r="T73" s="1561"/>
      <c r="U73" s="1561"/>
      <c r="V73" s="1561"/>
      <c r="W73" s="1561"/>
      <c r="X73" s="1561"/>
      <c r="Y73" s="1561"/>
      <c r="Z73" s="1561"/>
      <c r="AA73" s="1561"/>
      <c r="AB73" s="1561"/>
      <c r="AC73" s="1561"/>
      <c r="AD73" s="1561"/>
      <c r="AE73" s="1561"/>
      <c r="AF73" s="1561"/>
      <c r="AG73" s="1561"/>
      <c r="AH73" s="1561"/>
      <c r="AI73" s="1561"/>
      <c r="AJ73" s="1561"/>
      <c r="AK73" s="1561"/>
      <c r="AL73" s="1561"/>
      <c r="AM73" s="1561"/>
      <c r="AN73" s="1561"/>
      <c r="AO73" s="1561"/>
      <c r="AP73" s="1561"/>
      <c r="AQ73" s="1561"/>
      <c r="AR73" s="1561"/>
      <c r="AS73" s="1561"/>
      <c r="AT73" s="1561"/>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42" t="s">
        <v>2159</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2567</v>
      </c>
      <c r="BE75" s="1249">
        <f>'Points System'!AF808</f>
        <v>10</v>
      </c>
    </row>
    <row r="76" spans="1:57" ht="13"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2568</v>
      </c>
      <c r="BE76" s="1249">
        <f>'Points System'!AF811</f>
        <v>10</v>
      </c>
    </row>
    <row r="77" spans="1:57" ht="13"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43" t="s">
        <v>2160</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2571</v>
      </c>
      <c r="BE79" s="1249">
        <f>'Points System'!AF815</f>
        <v>9</v>
      </c>
    </row>
    <row r="80" spans="1:57" ht="13"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2572</v>
      </c>
      <c r="BE80" s="1249">
        <f>'Points System'!AF817</f>
        <v>10</v>
      </c>
    </row>
    <row r="81" spans="1:57" ht="13"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2.2242608732624691</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San Diego Housing Commission / City of San Diego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Colin Miller</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Vice President Multihousing Finance</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Diego</v>
      </c>
    </row>
    <row r="89" spans="1:57" ht="13"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92101</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 xml:space="preserve">Vintage Housing Holdings, LLC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369 San Miguel Drive, Suite 135</v>
      </c>
    </row>
    <row r="92" spans="1:57" ht="13" customHeight="1">
      <c r="A92" s="1542" t="s">
        <v>2164</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2584</v>
      </c>
      <c r="BE92" s="1249" t="str">
        <f>Application!M234</f>
        <v xml:space="preserve">Newport Beach </v>
      </c>
    </row>
    <row r="93" spans="1:57" ht="13"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2585</v>
      </c>
      <c r="BE93" s="1249" t="str">
        <f>Application!W234</f>
        <v>CA</v>
      </c>
    </row>
    <row r="94" spans="1:57" ht="13"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2586</v>
      </c>
      <c r="BE94" s="1249">
        <f>Application!AC234</f>
        <v>92660</v>
      </c>
    </row>
    <row r="95" spans="1:57" ht="13"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2587</v>
      </c>
      <c r="BE95" s="1249" t="str">
        <f>Application!M235</f>
        <v xml:space="preserve">Michael Gancar </v>
      </c>
    </row>
    <row r="96" spans="1:57" ht="13"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2588</v>
      </c>
      <c r="BE96" s="1249" t="str">
        <f>Application!M237</f>
        <v>mgancar@vintagehousing.com</v>
      </c>
    </row>
    <row r="97" spans="1:57" ht="13"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2589</v>
      </c>
      <c r="BE97" s="1249" t="str">
        <f>Application!M248</f>
        <v>mgancar@vintagehousing.com</v>
      </c>
    </row>
    <row r="98" spans="1:57" ht="13"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2590</v>
      </c>
      <c r="BE98" s="1249" t="str">
        <f>Application!M256</f>
        <v>coco@hearthstonehousing.org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sstrain@sabelhauslaw.com</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'Sources and Uses Budget'!C105</f>
        <v>90897429</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5">
        <v>1</v>
      </c>
      <c r="H113" s="1545"/>
      <c r="I113" s="3" t="s">
        <v>182</v>
      </c>
      <c r="L113" s="1545" t="s">
        <v>2674</v>
      </c>
      <c r="M113" s="1545"/>
      <c r="N113" s="1545"/>
      <c r="O113" s="1545"/>
      <c r="P113" s="1564" t="s">
        <v>2239</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6" t="s">
        <v>729</v>
      </c>
      <c r="D115" s="1546"/>
      <c r="E115" s="1546"/>
      <c r="F115" s="1546"/>
      <c r="G115" s="1546"/>
      <c r="H115" s="1546"/>
      <c r="I115" s="1546"/>
      <c r="J115" s="1546"/>
      <c r="K115" s="154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5"/>
      <c r="Z117" s="1545"/>
      <c r="AA117" s="1545"/>
      <c r="AB117" s="1545"/>
      <c r="AC117" s="1545"/>
      <c r="AD117" s="1545"/>
      <c r="AE117" s="1545"/>
      <c r="AF117" s="1545"/>
      <c r="AG117" s="1545"/>
      <c r="AH117" s="1545"/>
      <c r="AI117" s="1545"/>
      <c r="AJ117" s="1545"/>
      <c r="AK117" s="1545"/>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5" t="s">
        <v>2654</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7" t="s">
        <v>469</v>
      </c>
      <c r="CV122" s="1698"/>
      <c r="CW122" s="14"/>
      <c r="CX122" s="14" t="s">
        <v>634</v>
      </c>
      <c r="CY122" s="14"/>
      <c r="CZ122" s="14"/>
      <c r="DA122" s="14"/>
      <c r="DB122" s="14"/>
      <c r="DC122" s="14"/>
      <c r="DD122" s="14"/>
      <c r="DE122" s="14"/>
      <c r="DF122" s="14"/>
      <c r="DG122" s="1694" t="str">
        <f>T189</f>
        <v>San Diego</v>
      </c>
      <c r="DH122" s="1695"/>
      <c r="DI122" s="1695"/>
      <c r="DJ122" s="1695"/>
      <c r="DK122" s="1695"/>
      <c r="DL122" s="1695"/>
      <c r="DM122" s="1696"/>
    </row>
    <row r="123" spans="1:117" ht="13" customHeight="1">
      <c r="A123" s="3"/>
      <c r="B123" s="3"/>
      <c r="T123" s="3"/>
      <c r="U123" s="3"/>
      <c r="V123" s="3"/>
      <c r="W123" s="3"/>
      <c r="X123" s="3"/>
      <c r="Y123" s="1545" t="s">
        <v>2675</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25"/>
      <c r="G150" s="1425"/>
      <c r="H150" s="1425"/>
      <c r="I150" s="1425"/>
      <c r="J150" s="1425"/>
      <c r="K150" s="1425"/>
      <c r="L150" s="1425"/>
      <c r="M150" s="1425"/>
      <c r="N150" s="1425"/>
      <c r="O150" s="1425"/>
      <c r="P150" s="1425"/>
      <c r="Q150" s="1425"/>
      <c r="R150" s="1425"/>
      <c r="S150" s="1425"/>
      <c r="T150" s="14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527" t="s">
        <v>2676</v>
      </c>
      <c r="P153" s="1509"/>
      <c r="Q153" s="1509"/>
      <c r="R153" s="1509"/>
      <c r="S153" s="1509"/>
      <c r="T153" s="1509"/>
      <c r="U153" s="1509"/>
      <c r="V153" s="1509"/>
      <c r="W153" s="1509"/>
      <c r="X153" s="1509"/>
      <c r="Y153" s="1509"/>
      <c r="Z153" s="1509"/>
      <c r="AA153" s="1509"/>
      <c r="AB153" s="1509"/>
      <c r="AC153" s="1509"/>
      <c r="AD153" s="1509"/>
      <c r="AE153" s="1509"/>
      <c r="AF153" s="1509"/>
      <c r="AG153" s="1509"/>
      <c r="AH153" s="1509"/>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551" t="s">
        <v>2677</v>
      </c>
      <c r="P154" s="1486"/>
      <c r="Q154" s="1486"/>
      <c r="R154" s="1486"/>
      <c r="S154" s="1486"/>
      <c r="T154" s="1486"/>
      <c r="U154" s="1486"/>
      <c r="V154" s="1486"/>
      <c r="W154" s="1486"/>
      <c r="X154" s="1486"/>
      <c r="Y154" s="1486"/>
      <c r="Z154" s="1486"/>
      <c r="AA154" s="1486"/>
      <c r="AB154" s="1486"/>
      <c r="AC154" s="1486"/>
      <c r="AD154" s="1486"/>
      <c r="AE154" s="1486"/>
      <c r="AF154" s="1486"/>
      <c r="AG154" s="1486"/>
      <c r="AH154" s="1486"/>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68" t="s">
        <v>2678</v>
      </c>
      <c r="P155" s="1569"/>
      <c r="Q155" s="1569"/>
      <c r="R155" s="1569"/>
      <c r="S155" s="1569"/>
      <c r="T155" s="1569"/>
      <c r="U155" s="1569"/>
      <c r="V155" s="1569"/>
      <c r="W155" s="1569"/>
      <c r="X155" s="1569"/>
      <c r="Y155" s="1569"/>
      <c r="Z155" s="1569"/>
      <c r="AA155" s="1569"/>
      <c r="AB155" s="1569"/>
      <c r="AC155" s="1569"/>
      <c r="AD155" s="1569"/>
      <c r="AE155" s="1569"/>
      <c r="AF155" s="1569"/>
      <c r="AG155" s="1569"/>
      <c r="AH155" s="1569"/>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87" t="s">
        <v>2679</v>
      </c>
      <c r="P156" s="1487"/>
      <c r="Q156" s="1487"/>
      <c r="R156" s="1487"/>
      <c r="S156" s="1487"/>
      <c r="T156" s="1487"/>
      <c r="U156" s="1487"/>
      <c r="V156" s="1487"/>
      <c r="W156" s="1487"/>
      <c r="X156" s="1487"/>
      <c r="Y156" s="1487"/>
      <c r="Z156" s="1487"/>
      <c r="AA156" s="1487"/>
      <c r="AB156" s="1487"/>
      <c r="AC156" s="1487"/>
      <c r="AD156" s="1487"/>
      <c r="AE156" s="1487"/>
      <c r="AF156" s="1487"/>
      <c r="AG156" s="1487"/>
      <c r="AH156" s="148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7" t="s">
        <v>729</v>
      </c>
      <c r="P157" s="1509"/>
      <c r="Q157" s="1509"/>
      <c r="R157" s="1509"/>
      <c r="S157" s="1509"/>
      <c r="T157" s="1509"/>
      <c r="U157" s="1509"/>
      <c r="V157" s="1509"/>
      <c r="W157" s="1509"/>
      <c r="X157" s="150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92101</v>
      </c>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70" t="s">
        <v>2680</v>
      </c>
      <c r="P159" s="1570"/>
      <c r="Q159" s="1570"/>
      <c r="R159" s="1570"/>
      <c r="S159" s="1570"/>
      <c r="T159" s="1570"/>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70" t="s">
        <v>2681</v>
      </c>
      <c r="P160" s="1570"/>
      <c r="Q160" s="1570"/>
      <c r="R160" s="1570"/>
      <c r="S160" s="1570"/>
      <c r="T160" s="157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538" t="s">
        <v>2682</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47" t="s">
        <v>2216</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58" t="s">
        <v>539</v>
      </c>
      <c r="B169" s="1558"/>
      <c r="C169" s="1558"/>
      <c r="D169" s="1558"/>
      <c r="E169" s="1558"/>
      <c r="F169" s="1558"/>
      <c r="G169" s="1558"/>
      <c r="H169" s="1558"/>
      <c r="I169" s="1558"/>
      <c r="J169" s="1558"/>
      <c r="K169" s="1558"/>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1558"/>
      <c r="AN169" s="1558"/>
      <c r="AO169" s="1558"/>
      <c r="AP169" s="1558"/>
      <c r="AQ169" s="1558"/>
      <c r="AR169" s="1558"/>
      <c r="AS169" s="1558"/>
      <c r="AT169" s="155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58"/>
      <c r="B170" s="1558"/>
      <c r="C170" s="1558"/>
      <c r="D170" s="1558"/>
      <c r="E170" s="1558"/>
      <c r="F170" s="1558"/>
      <c r="G170" s="1558"/>
      <c r="H170" s="1558"/>
      <c r="I170" s="1558"/>
      <c r="J170" s="1558"/>
      <c r="K170" s="1558"/>
      <c r="L170" s="1558"/>
      <c r="M170" s="1558"/>
      <c r="N170" s="1558"/>
      <c r="O170" s="1558"/>
      <c r="P170" s="1558"/>
      <c r="Q170" s="1558"/>
      <c r="R170" s="1558"/>
      <c r="S170" s="1558"/>
      <c r="T170" s="1558"/>
      <c r="U170" s="1558"/>
      <c r="V170" s="1558"/>
      <c r="W170" s="1558"/>
      <c r="X170" s="1558"/>
      <c r="Y170" s="1558"/>
      <c r="Z170" s="1558"/>
      <c r="AA170" s="1558"/>
      <c r="AB170" s="1558"/>
      <c r="AC170" s="1558"/>
      <c r="AD170" s="1558"/>
      <c r="AE170" s="1558"/>
      <c r="AF170" s="1558"/>
      <c r="AG170" s="1558"/>
      <c r="AH170" s="1558"/>
      <c r="AI170" s="1558"/>
      <c r="AJ170" s="1558"/>
      <c r="AK170" s="1558"/>
      <c r="AL170" s="1558"/>
      <c r="AM170" s="1558"/>
      <c r="AN170" s="1558"/>
      <c r="AO170" s="1558"/>
      <c r="AP170" s="1558"/>
      <c r="AQ170" s="1558"/>
      <c r="AR170" s="1558"/>
      <c r="AS170" s="1558"/>
      <c r="AT170" s="155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571" t="s">
        <v>371</v>
      </c>
      <c r="K173" s="1571"/>
      <c r="L173" s="1571"/>
      <c r="M173" s="1571"/>
      <c r="N173" s="1571"/>
      <c r="O173" s="1571"/>
      <c r="P173" s="1571"/>
      <c r="Q173" s="1571"/>
      <c r="R173" s="1571"/>
      <c r="S173" s="157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87" t="s">
        <v>2101</v>
      </c>
      <c r="K174" s="1487"/>
      <c r="L174" s="1487"/>
      <c r="M174" s="1487"/>
      <c r="N174" s="1487"/>
      <c r="O174" s="1487"/>
      <c r="P174" s="1487"/>
      <c r="Q174" s="1487"/>
      <c r="R174" s="1487"/>
      <c r="S174" s="1487"/>
      <c r="T174" s="1487"/>
      <c r="U174" s="1487"/>
      <c r="V174" s="1487"/>
      <c r="W174" s="1487"/>
      <c r="X174" s="1487"/>
      <c r="Y174" s="1487"/>
      <c r="Z174" s="1487"/>
      <c r="AA174" s="1487"/>
      <c r="AB174" s="1487"/>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76"/>
      <c r="V175" s="1476"/>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550"/>
      <c r="V176" s="1550"/>
      <c r="W176" s="1" t="s">
        <v>306</v>
      </c>
      <c r="X176" s="1573"/>
      <c r="Y176" s="1573"/>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76"/>
      <c r="S177" s="1476"/>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572"/>
      <c r="AG178" s="1572"/>
      <c r="AH178" s="1" t="s">
        <v>306</v>
      </c>
      <c r="AI178" s="1529"/>
      <c r="AJ178" s="1529"/>
      <c r="AK178" s="1529"/>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476"/>
      <c r="Y180" s="147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94" t="str">
        <f>H18</f>
        <v>707 by Vintage</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455" t="s">
        <v>2613</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470"/>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C188" s="1470"/>
      <c r="AD188" s="1470"/>
      <c r="AE188" s="147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527" t="s">
        <v>2614</v>
      </c>
      <c r="J189" s="1487"/>
      <c r="K189" s="1487"/>
      <c r="L189" s="1487"/>
      <c r="M189" s="1487"/>
      <c r="N189" s="1487"/>
      <c r="O189" s="1487"/>
      <c r="P189" s="1487"/>
      <c r="Q189" t="s">
        <v>582</v>
      </c>
      <c r="T189" s="1487" t="s">
        <v>729</v>
      </c>
      <c r="U189" s="1487"/>
      <c r="V189" s="1487"/>
      <c r="W189" s="1487"/>
      <c r="X189" s="1487"/>
      <c r="Y189" s="1487"/>
      <c r="Z189" s="1487"/>
      <c r="AA189" s="1487"/>
      <c r="AB189" s="1487"/>
      <c r="AC189" s="1487"/>
      <c r="AD189" s="1487"/>
      <c r="AE189" s="148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455">
        <v>92101</v>
      </c>
      <c r="J190" s="1455"/>
      <c r="K190" s="1455"/>
      <c r="L190" s="1455"/>
      <c r="M190" s="1455"/>
      <c r="N190" s="1455"/>
      <c r="O190" t="s">
        <v>585</v>
      </c>
      <c r="T190" s="1554">
        <v>53.01</v>
      </c>
      <c r="U190" s="1554"/>
      <c r="V190" s="1554"/>
      <c r="W190" s="1554"/>
      <c r="X190" s="1554"/>
      <c r="Y190" s="1554"/>
      <c r="Z190" s="1554"/>
      <c r="AA190" s="1554"/>
      <c r="AB190" s="1554"/>
      <c r="AC190" s="1554"/>
      <c r="AD190" s="1554"/>
      <c r="AE190" s="155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21" t="s">
        <v>2733</v>
      </c>
      <c r="O191" s="1521"/>
      <c r="P191" s="1521"/>
      <c r="Q191" s="1521"/>
      <c r="R191" s="1521"/>
      <c r="S191" s="1521"/>
      <c r="T191" s="1521"/>
      <c r="U191" s="1521"/>
      <c r="V191" s="1521"/>
      <c r="W191" s="1521"/>
      <c r="X191" s="1521"/>
      <c r="Y191" s="1521"/>
      <c r="Z191" s="1521"/>
      <c r="AA191" s="1521"/>
      <c r="AB191" s="1521"/>
      <c r="AC191" s="1521"/>
      <c r="AD191" s="1521"/>
      <c r="AE191" s="152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470"/>
      <c r="O192" s="1470"/>
      <c r="P192" s="1470"/>
      <c r="Q192" s="1470"/>
      <c r="R192" s="1470"/>
      <c r="S192" s="1470"/>
      <c r="T192" s="1470"/>
      <c r="U192" s="1470"/>
      <c r="V192" s="1470"/>
      <c r="W192" s="1470"/>
      <c r="X192" s="1470"/>
      <c r="Y192" s="1470"/>
      <c r="Z192" s="1470"/>
      <c r="AA192" s="1470"/>
      <c r="AB192" s="1470"/>
      <c r="AC192" s="1470"/>
      <c r="AD192" s="1470"/>
      <c r="AE192" s="147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4" t="s">
        <v>2213</v>
      </c>
      <c r="U193" s="1574"/>
      <c r="V193" s="1574"/>
      <c r="W193" s="1574"/>
      <c r="X193" s="1574"/>
      <c r="Y193" s="1574"/>
      <c r="Z193" s="1574"/>
      <c r="AA193" s="1574"/>
      <c r="AB193" s="1574"/>
      <c r="AC193" s="1574"/>
      <c r="AD193" s="1574"/>
      <c r="AE193" s="1574"/>
      <c r="AF193" s="1574"/>
      <c r="AG193" s="1574"/>
      <c r="AH193" s="1574"/>
      <c r="AI193" s="157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76" t="s">
        <v>669</v>
      </c>
      <c r="AI194" s="147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476" t="s">
        <v>545</v>
      </c>
      <c r="U195" s="1476"/>
      <c r="W195" t="s">
        <v>684</v>
      </c>
      <c r="AH195" s="1476">
        <v>50</v>
      </c>
      <c r="AI195" s="1476"/>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30" t="s">
        <v>669</v>
      </c>
      <c r="U196" s="1430"/>
      <c r="W196" t="s">
        <v>685</v>
      </c>
      <c r="AH196" s="1476">
        <v>77</v>
      </c>
      <c r="AI196" s="147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30" t="s">
        <v>669</v>
      </c>
      <c r="U197" s="1430"/>
      <c r="W197" t="s">
        <v>686</v>
      </c>
      <c r="AH197" s="1476">
        <v>39</v>
      </c>
      <c r="AI197" s="147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t="s">
        <v>669</v>
      </c>
      <c r="U198" s="1430"/>
      <c r="V198"/>
      <c r="X198" s="1561" t="s">
        <v>2513</v>
      </c>
      <c r="Y198" s="1561"/>
      <c r="Z198" s="1561"/>
      <c r="AA198" s="1561"/>
      <c r="AB198" s="1561"/>
      <c r="AC198" s="1561"/>
      <c r="AD198" s="1561"/>
      <c r="AE198" s="1561"/>
      <c r="AF198" s="1561"/>
      <c r="AG198" s="1561"/>
      <c r="AH198" s="1561"/>
      <c r="AI198" s="1561"/>
      <c r="AJ198" s="1561"/>
      <c r="AK198" s="1561"/>
      <c r="AL198" s="1561"/>
      <c r="AM198" s="1561"/>
      <c r="AN198" s="1561"/>
      <c r="AO198" s="1561"/>
      <c r="AP198" s="1561"/>
      <c r="AQ198" s="1561"/>
      <c r="AR198" s="1561"/>
      <c r="AS198" s="1561"/>
      <c r="AT198" s="156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76" t="s">
        <v>669</v>
      </c>
      <c r="U199" s="1476"/>
      <c r="V199"/>
      <c r="W199"/>
      <c r="X199" s="1561"/>
      <c r="Y199" s="1561"/>
      <c r="Z199" s="1561"/>
      <c r="AA199" s="1561"/>
      <c r="AB199" s="1561"/>
      <c r="AC199" s="1561"/>
      <c r="AD199" s="1561"/>
      <c r="AE199" s="1561"/>
      <c r="AF199" s="1561"/>
      <c r="AG199" s="1561"/>
      <c r="AH199" s="1561"/>
      <c r="AI199" s="1561"/>
      <c r="AJ199" s="1561"/>
      <c r="AK199" s="1561"/>
      <c r="AL199" s="1561"/>
      <c r="AM199" s="1561"/>
      <c r="AN199" s="1561"/>
      <c r="AO199" s="1561"/>
      <c r="AP199" s="1561"/>
      <c r="AQ199" s="1561"/>
      <c r="AR199" s="1561"/>
      <c r="AS199" s="1561"/>
      <c r="AT199" s="156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476" t="s">
        <v>669</v>
      </c>
      <c r="U200" s="147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94" t="s">
        <v>385</v>
      </c>
      <c r="E204" s="1494"/>
      <c r="F204" s="1494"/>
      <c r="G204" s="1494"/>
      <c r="H204" s="1494"/>
      <c r="I204" s="1494"/>
      <c r="J204" s="1494"/>
      <c r="K204" s="1494"/>
      <c r="L204" s="1494"/>
      <c r="M204" s="1494"/>
      <c r="P204" s="1548">
        <f>M26</f>
        <v>4155834</v>
      </c>
      <c r="Q204" s="1549"/>
      <c r="R204" s="1549"/>
      <c r="S204" s="1549"/>
      <c r="T204" s="1549"/>
      <c r="U204" s="154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63" t="s">
        <v>1247</v>
      </c>
      <c r="E205" s="1494"/>
      <c r="F205" s="1494"/>
      <c r="G205" s="1494"/>
      <c r="H205" s="1494"/>
      <c r="I205" s="1494"/>
      <c r="J205" s="1494"/>
      <c r="K205" s="1494"/>
      <c r="L205" s="1494"/>
      <c r="M205" s="1494"/>
      <c r="P205" s="1549">
        <f>M27</f>
        <v>0</v>
      </c>
      <c r="Q205" s="1549"/>
      <c r="R205" s="1549"/>
      <c r="S205" s="1549"/>
      <c r="T205" s="1549"/>
      <c r="U205" s="1549"/>
      <c r="V205" s="28"/>
      <c r="W205" s="3" t="s">
        <v>1720</v>
      </c>
      <c r="Z205" s="1560" t="s">
        <v>2219</v>
      </c>
      <c r="AA205" s="1560"/>
      <c r="AB205" s="1560"/>
      <c r="AC205" s="1560"/>
      <c r="AD205" s="1560"/>
      <c r="AE205" s="1560"/>
      <c r="AF205" s="1560"/>
      <c r="AG205" s="1560"/>
      <c r="AH205" s="1560"/>
      <c r="AI205" s="1560"/>
      <c r="AJ205" s="1560"/>
      <c r="AK205" s="1560"/>
      <c r="AL205" s="1560"/>
      <c r="AM205" s="1560"/>
      <c r="AN205" s="1560"/>
      <c r="AP205" s="1425"/>
      <c r="AQ205" s="142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09" t="s">
        <v>2721</v>
      </c>
      <c r="E208" s="1509"/>
      <c r="F208" s="1509"/>
      <c r="G208" s="1509"/>
      <c r="H208" s="1509"/>
      <c r="I208" s="1509"/>
      <c r="J208" s="1509"/>
      <c r="K208" s="1509"/>
      <c r="L208" s="1509"/>
      <c r="M208" s="1509"/>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09" t="s">
        <v>1856</v>
      </c>
      <c r="E211" s="1509"/>
      <c r="F211" s="1509"/>
      <c r="G211" s="1509"/>
      <c r="H211" s="1509"/>
      <c r="I211" s="1509"/>
      <c r="J211" s="1509"/>
      <c r="K211" s="1509"/>
      <c r="L211" s="1509"/>
      <c r="M211" s="150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76">
        <v>0</v>
      </c>
      <c r="R212" s="1476"/>
      <c r="T212" s="1565">
        <f>IFERROR(Q212/AG440,0)</f>
        <v>0</v>
      </c>
      <c r="U212" s="156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377</v>
      </c>
    </row>
    <row r="220" spans="1:108" ht="13" customHeight="1">
      <c r="A220" s="2"/>
      <c r="C220" s="2"/>
      <c r="D220" s="1509" t="s">
        <v>611</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AC220" s="1562" t="s">
        <v>2464</v>
      </c>
      <c r="AD220" s="1562"/>
      <c r="AE220" s="1562"/>
      <c r="AF220" s="1562"/>
      <c r="AG220" s="1562"/>
      <c r="AH220" s="1562"/>
      <c r="AI220" s="1562"/>
      <c r="AJ220" s="1562"/>
      <c r="AK220" s="1562"/>
      <c r="AL220" s="1562"/>
      <c r="AM220" s="1562"/>
      <c r="AN220" s="1562"/>
      <c r="AO220" s="1562"/>
      <c r="AP220" s="1562"/>
      <c r="AQ220" s="1562"/>
      <c r="BA220" s="3"/>
      <c r="BC220" t="s">
        <v>300</v>
      </c>
    </row>
    <row r="221" spans="1:108" ht="13" customHeight="1">
      <c r="A221" s="2"/>
      <c r="B221" s="14"/>
      <c r="C221" s="2"/>
      <c r="BA221" s="3"/>
    </row>
    <row r="222" spans="1:108" ht="13" customHeight="1">
      <c r="A222" s="1558" t="s">
        <v>540</v>
      </c>
      <c r="B222" s="1558"/>
      <c r="C222" s="1558"/>
      <c r="D222" s="1558"/>
      <c r="E222" s="1558"/>
      <c r="F222" s="1558"/>
      <c r="G222" s="1558"/>
      <c r="H222" s="1558"/>
      <c r="I222" s="1558"/>
      <c r="J222" s="1558"/>
      <c r="K222" s="1558"/>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558"/>
      <c r="AM222" s="1558"/>
      <c r="AN222" s="1558"/>
      <c r="AO222" s="1558"/>
      <c r="AP222" s="1558"/>
      <c r="AQ222" s="1558"/>
      <c r="AR222" s="1558"/>
      <c r="AS222" s="1558"/>
      <c r="AT222" s="1558"/>
      <c r="AU222" s="95"/>
      <c r="AV222" s="95"/>
      <c r="AW222" s="95"/>
      <c r="AX222" s="95"/>
      <c r="AY222" s="95"/>
      <c r="AZ222" s="3"/>
      <c r="BA222" s="3"/>
      <c r="BP222" s="34"/>
    </row>
    <row r="223" spans="1:108" ht="13" customHeight="1">
      <c r="A223" s="1558"/>
      <c r="B223" s="1558"/>
      <c r="C223" s="1558"/>
      <c r="D223" s="1558"/>
      <c r="E223" s="1558"/>
      <c r="F223" s="1558"/>
      <c r="G223" s="1558"/>
      <c r="H223" s="1558"/>
      <c r="I223" s="1558"/>
      <c r="J223" s="1558"/>
      <c r="K223" s="1558"/>
      <c r="L223" s="1558"/>
      <c r="M223" s="1558"/>
      <c r="N223" s="1558"/>
      <c r="O223" s="1558"/>
      <c r="P223" s="1558"/>
      <c r="Q223" s="1558"/>
      <c r="R223" s="1558"/>
      <c r="S223" s="1558"/>
      <c r="T223" s="1558"/>
      <c r="U223" s="1558"/>
      <c r="V223" s="1558"/>
      <c r="W223" s="1558"/>
      <c r="X223" s="1558"/>
      <c r="Y223" s="1558"/>
      <c r="Z223" s="1558"/>
      <c r="AA223" s="1558"/>
      <c r="AB223" s="1558"/>
      <c r="AC223" s="1558"/>
      <c r="AD223" s="1558"/>
      <c r="AE223" s="1558"/>
      <c r="AF223" s="1558"/>
      <c r="AG223" s="1558"/>
      <c r="AH223" s="1558"/>
      <c r="AI223" s="1558"/>
      <c r="AJ223" s="1558"/>
      <c r="AK223" s="1558"/>
      <c r="AL223" s="1558"/>
      <c r="AM223" s="1558"/>
      <c r="AN223" s="1558"/>
      <c r="AO223" s="1558"/>
      <c r="AP223" s="1558"/>
      <c r="AQ223" s="1558"/>
      <c r="AR223" s="1558"/>
      <c r="AS223" s="1558"/>
      <c r="AT223" s="1558"/>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76" t="s">
        <v>591</v>
      </c>
      <c r="AJ226" s="147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76" t="s">
        <v>591</v>
      </c>
      <c r="AJ227" s="147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76" t="s">
        <v>545</v>
      </c>
      <c r="AJ228" s="147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76" t="s">
        <v>591</v>
      </c>
      <c r="AJ229" s="147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5" t="str">
        <f>H16</f>
        <v xml:space="preserve">Vintage Housing Holdings, LLC </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538</v>
      </c>
      <c r="BG232" s="241">
        <f>IF(AND(AND($M$249="nonprofit",$M$257="nonprofit",$M$265="for profit")),2,0)</f>
        <v>0</v>
      </c>
    </row>
    <row r="233" spans="1:59" ht="13" customHeight="1">
      <c r="D233" s="4" t="s">
        <v>85</v>
      </c>
      <c r="E233" s="4"/>
      <c r="F233" s="4"/>
      <c r="G233" s="4"/>
      <c r="H233" s="4"/>
      <c r="I233" s="4"/>
      <c r="J233" s="4"/>
      <c r="K233" s="4"/>
      <c r="M233" s="1527" t="s">
        <v>2615</v>
      </c>
      <c r="N233" s="1509"/>
      <c r="O233" s="1509"/>
      <c r="P233" s="1509"/>
      <c r="Q233" s="1509"/>
      <c r="R233" s="1509"/>
      <c r="S233" s="1509"/>
      <c r="T233" s="1509"/>
      <c r="U233" s="1509"/>
      <c r="V233" s="1509"/>
      <c r="W233" s="1509"/>
      <c r="X233" s="1509"/>
      <c r="Y233" s="1509"/>
      <c r="Z233" s="1509"/>
      <c r="AA233" s="1509"/>
      <c r="AB233" s="1509"/>
      <c r="AC233" s="1509"/>
      <c r="AD233" s="1509"/>
      <c r="AE233" s="1509"/>
      <c r="BB233" s="205" t="s">
        <v>538</v>
      </c>
      <c r="BG233" s="241">
        <f>IF(AND(AND($M$249="nonprofit",$M$257="for profit",$M$265="nonprofit")),2,0)</f>
        <v>0</v>
      </c>
    </row>
    <row r="234" spans="1:59" ht="13" customHeight="1">
      <c r="D234" s="4" t="s">
        <v>580</v>
      </c>
      <c r="E234" s="4"/>
      <c r="M234" s="1527" t="s">
        <v>2616</v>
      </c>
      <c r="N234" s="1509"/>
      <c r="O234" s="1509"/>
      <c r="P234" s="1509"/>
      <c r="Q234" s="1509"/>
      <c r="R234" s="1509"/>
      <c r="S234" s="1509"/>
      <c r="T234" s="1509"/>
      <c r="V234" s="33" t="s">
        <v>86</v>
      </c>
      <c r="W234" s="1551" t="s">
        <v>2617</v>
      </c>
      <c r="X234" s="1486"/>
      <c r="Y234" s="4" t="s">
        <v>583</v>
      </c>
      <c r="AC234" s="1509">
        <v>92660</v>
      </c>
      <c r="AD234" s="1509"/>
      <c r="AE234" s="150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7" t="s">
        <v>2618</v>
      </c>
      <c r="N235" s="1509"/>
      <c r="O235" s="1509"/>
      <c r="P235" s="1509"/>
      <c r="Q235" s="1509"/>
      <c r="R235" s="1509"/>
      <c r="S235" s="1509"/>
      <c r="T235" s="1509"/>
      <c r="U235" s="1509"/>
      <c r="V235" s="1509"/>
      <c r="W235" s="1509"/>
      <c r="X235" s="1509"/>
      <c r="Y235" s="1509"/>
      <c r="Z235" s="1509"/>
      <c r="AA235" s="1509"/>
      <c r="AB235" s="1509"/>
      <c r="AC235" s="1509"/>
      <c r="AD235" s="1509"/>
      <c r="AE235" s="1509"/>
      <c r="AI235" s="4"/>
      <c r="AJ235" s="4"/>
      <c r="AK235" s="4"/>
      <c r="AL235" s="4"/>
      <c r="AM235" s="4"/>
      <c r="AN235" s="4"/>
      <c r="AO235" s="4"/>
      <c r="AP235" s="4"/>
      <c r="AQ235" s="4"/>
      <c r="AR235" s="4"/>
      <c r="AS235" s="4"/>
      <c r="AT235" s="4"/>
      <c r="BB235" s="205"/>
      <c r="BG235" s="204"/>
    </row>
    <row r="236" spans="1:59" ht="13" customHeight="1">
      <c r="D236" s="4" t="s">
        <v>88</v>
      </c>
      <c r="E236" s="4"/>
      <c r="F236" s="4"/>
      <c r="M236" s="1522" t="s">
        <v>2619</v>
      </c>
      <c r="N236" s="1501"/>
      <c r="O236" s="1501"/>
      <c r="P236" s="1501"/>
      <c r="Q236" s="1501"/>
      <c r="R236" s="1501"/>
      <c r="S236" s="4" t="s">
        <v>206</v>
      </c>
      <c r="T236" s="4"/>
      <c r="U236" s="1486"/>
      <c r="V236" s="1486"/>
      <c r="W236" s="1486"/>
      <c r="X236" s="4" t="s">
        <v>89</v>
      </c>
      <c r="Z236" s="1501"/>
      <c r="AA236" s="1501"/>
      <c r="AB236" s="1501"/>
      <c r="AC236" s="1501"/>
      <c r="AD236" s="1501"/>
      <c r="AE236" s="1501"/>
      <c r="AU236" s="4"/>
      <c r="AV236" s="4"/>
      <c r="AW236" s="4"/>
      <c r="AX236" s="4"/>
      <c r="AY236" s="4"/>
      <c r="AZ236" s="4"/>
      <c r="BB236" s="204" t="s">
        <v>537</v>
      </c>
      <c r="BG236" s="241">
        <f>IF(AND(AND($M$249="nonprofit",$M$257="nonprofit",$M$265="(select one)")),1,0)</f>
        <v>0</v>
      </c>
    </row>
    <row r="237" spans="1:59" ht="13" customHeight="1">
      <c r="D237" s="4" t="s">
        <v>90</v>
      </c>
      <c r="E237" s="4"/>
      <c r="F237" s="4"/>
      <c r="M237" s="1538" t="s">
        <v>2620</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455" t="s">
        <v>300</v>
      </c>
      <c r="N238" s="1455"/>
      <c r="O238" s="1455"/>
      <c r="P238" s="1455"/>
      <c r="Q238" s="1455"/>
      <c r="R238" s="1455"/>
      <c r="S238" s="1455"/>
      <c r="T238" s="1455"/>
      <c r="U238" s="204" t="s">
        <v>906</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87" t="s">
        <v>2667</v>
      </c>
      <c r="N239" s="1487"/>
      <c r="O239" s="1487"/>
      <c r="P239" s="1487"/>
      <c r="Q239" s="1487"/>
      <c r="R239" s="1487"/>
      <c r="S239" s="1487"/>
      <c r="T239" s="1487"/>
      <c r="U239" s="1487"/>
      <c r="V239" s="1487"/>
      <c r="W239" s="1487"/>
      <c r="X239" s="1487"/>
      <c r="Y239" s="1487"/>
      <c r="Z239" s="1487"/>
      <c r="AA239" s="1487"/>
      <c r="AB239" s="1487"/>
      <c r="AC239" s="1487"/>
      <c r="AD239" s="1487"/>
      <c r="AE239" s="148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67" t="s">
        <v>2652</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2656</v>
      </c>
      <c r="AG243" s="1540"/>
      <c r="AH243" s="1540"/>
      <c r="AI243" s="1540"/>
      <c r="AJ243" s="1540"/>
      <c r="AK243" s="154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7" t="s">
        <v>2615</v>
      </c>
      <c r="N244" s="1509"/>
      <c r="O244" s="1509"/>
      <c r="P244" s="1509"/>
      <c r="Q244" s="1509"/>
      <c r="R244" s="1509"/>
      <c r="S244" s="1509"/>
      <c r="T244" s="1509"/>
      <c r="U244" s="1509"/>
      <c r="V244" s="1509"/>
      <c r="W244" s="1509"/>
      <c r="X244" s="1509"/>
      <c r="Y244" s="1509"/>
      <c r="Z244" s="1509"/>
      <c r="AA244" s="1509"/>
      <c r="AB244" s="1509"/>
      <c r="AC244" s="1509"/>
      <c r="AD244" s="1509"/>
      <c r="AE244" s="1509"/>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7" t="s">
        <v>2653</v>
      </c>
      <c r="N245" s="1509"/>
      <c r="O245" s="1509"/>
      <c r="P245" s="1509"/>
      <c r="Q245" s="1509"/>
      <c r="R245" s="1509"/>
      <c r="S245" s="1509"/>
      <c r="T245" s="1509"/>
      <c r="V245" s="33" t="s">
        <v>86</v>
      </c>
      <c r="W245" s="1551" t="s">
        <v>2617</v>
      </c>
      <c r="X245" s="1486"/>
      <c r="Y245" s="4" t="s">
        <v>583</v>
      </c>
      <c r="AC245" s="1509">
        <v>92660</v>
      </c>
      <c r="AD245" s="1509"/>
      <c r="AE245" s="1509"/>
      <c r="AF245" s="3" t="s">
        <v>1180</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7" t="s">
        <v>2654</v>
      </c>
      <c r="N246" s="1509"/>
      <c r="O246" s="1509"/>
      <c r="P246" s="1509"/>
      <c r="Q246" s="1509"/>
      <c r="R246" s="1509"/>
      <c r="S246" s="1509"/>
      <c r="T246" s="1509"/>
      <c r="U246" s="1509"/>
      <c r="V246" s="1509"/>
      <c r="W246" s="1509"/>
      <c r="X246" s="1509"/>
      <c r="Y246" s="1509"/>
      <c r="Z246" s="1509"/>
      <c r="AA246" s="1509"/>
      <c r="AB246" s="1509"/>
      <c r="AC246" s="1509"/>
      <c r="AD246" s="1509"/>
      <c r="AE246" s="1509"/>
      <c r="AH246" s="1520">
        <v>8.9999999999999993E-3</v>
      </c>
      <c r="AI246" s="1520"/>
      <c r="AJ246" s="1520"/>
      <c r="AK246" s="1520"/>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522" t="s">
        <v>2655</v>
      </c>
      <c r="N247" s="1501"/>
      <c r="O247" s="1501"/>
      <c r="P247" s="1501"/>
      <c r="Q247" s="1501"/>
      <c r="R247" s="1501"/>
      <c r="S247" s="4" t="s">
        <v>206</v>
      </c>
      <c r="T247" s="4"/>
      <c r="U247" s="1486"/>
      <c r="V247" s="1486"/>
      <c r="W247" s="1486"/>
      <c r="X247" s="4" t="s">
        <v>89</v>
      </c>
      <c r="Z247" s="1501"/>
      <c r="AA247" s="1501"/>
      <c r="AB247" s="1501"/>
      <c r="AC247" s="1501"/>
      <c r="AD247" s="1501"/>
      <c r="AE247" s="1501"/>
      <c r="AU247" s="4"/>
      <c r="AV247" s="4"/>
      <c r="AW247" s="4"/>
      <c r="AX247" s="4"/>
      <c r="AY247" s="4"/>
      <c r="BG247">
        <v>0</v>
      </c>
      <c r="BH247" s="3" t="str">
        <f>""</f>
        <v/>
      </c>
      <c r="BN247" s="34"/>
    </row>
    <row r="248" spans="1:67" ht="13" customHeight="1">
      <c r="A248" s="19"/>
      <c r="B248" s="4"/>
      <c r="C248" s="4"/>
      <c r="D248" s="4" t="s">
        <v>90</v>
      </c>
      <c r="E248" s="4"/>
      <c r="F248" s="4"/>
      <c r="M248" s="1538" t="s">
        <v>2620</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455" t="s">
        <v>536</v>
      </c>
      <c r="N249" s="1455"/>
      <c r="O249" s="1455"/>
      <c r="P249" s="1455"/>
      <c r="Q249" s="1455"/>
      <c r="R249" s="1455"/>
      <c r="S249" s="1455"/>
      <c r="T249" s="1455"/>
      <c r="U249" s="204" t="s">
        <v>906</v>
      </c>
      <c r="V249" s="204"/>
      <c r="W249" s="204"/>
      <c r="X249" s="204"/>
      <c r="Y249" s="204"/>
      <c r="Z249" s="204"/>
      <c r="AA249" s="1559"/>
      <c r="AB249" s="1559"/>
      <c r="AC249" s="1559"/>
      <c r="AD249" s="1559"/>
      <c r="AE249" s="1559"/>
      <c r="AF249" s="1559"/>
      <c r="AG249" s="1559"/>
      <c r="AH249" s="1559"/>
      <c r="AI249" s="1559"/>
      <c r="AJ249" s="1559"/>
      <c r="AK249" s="155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67" t="s">
        <v>2662</v>
      </c>
      <c r="N251" s="1540"/>
      <c r="O251" s="1540"/>
      <c r="P251" s="1540"/>
      <c r="Q251" s="1540"/>
      <c r="R251" s="1540"/>
      <c r="S251" s="1540"/>
      <c r="T251" s="1540"/>
      <c r="U251" s="1540"/>
      <c r="V251" s="1540"/>
      <c r="W251" s="1540"/>
      <c r="X251" s="1540"/>
      <c r="Y251" s="1540"/>
      <c r="Z251" s="1540"/>
      <c r="AA251" s="1540"/>
      <c r="AB251" s="1540"/>
      <c r="AC251" s="1540"/>
      <c r="AD251" s="1540"/>
      <c r="AE251" s="1540"/>
      <c r="AF251" s="1567" t="s">
        <v>2660</v>
      </c>
      <c r="AG251" s="1540"/>
      <c r="AH251" s="1540"/>
      <c r="AI251" s="1540"/>
      <c r="AJ251" s="1540"/>
      <c r="AK251" s="1540"/>
      <c r="AU251" s="4"/>
      <c r="AV251" s="4"/>
      <c r="AW251" s="4"/>
      <c r="AX251" s="4"/>
      <c r="AY251" s="4"/>
      <c r="BN251" s="34"/>
    </row>
    <row r="252" spans="1:67" ht="13" customHeight="1">
      <c r="A252" s="19"/>
      <c r="B252" s="4"/>
      <c r="C252" s="4"/>
      <c r="D252" s="4" t="s">
        <v>85</v>
      </c>
      <c r="E252" s="4"/>
      <c r="F252" s="4"/>
      <c r="G252" s="4"/>
      <c r="H252" s="4"/>
      <c r="I252" s="4"/>
      <c r="J252" s="4"/>
      <c r="K252" s="4"/>
      <c r="L252" s="4"/>
      <c r="M252" s="1527" t="s">
        <v>2663</v>
      </c>
      <c r="N252" s="1509"/>
      <c r="O252" s="1509"/>
      <c r="P252" s="1509"/>
      <c r="Q252" s="1509"/>
      <c r="R252" s="1509"/>
      <c r="S252" s="1509"/>
      <c r="T252" s="1509"/>
      <c r="U252" s="1509"/>
      <c r="V252" s="1509"/>
      <c r="W252" s="1509"/>
      <c r="X252" s="1509"/>
      <c r="Y252" s="1509"/>
      <c r="Z252" s="1509"/>
      <c r="AA252" s="1509"/>
      <c r="AB252" s="1509"/>
      <c r="AC252" s="1509"/>
      <c r="AD252" s="1509"/>
      <c r="AE252" s="1509"/>
      <c r="AF252" s="3" t="s">
        <v>1179</v>
      </c>
      <c r="AL252" s="4"/>
      <c r="AM252" s="4"/>
      <c r="AN252" s="4"/>
      <c r="AO252" s="4"/>
      <c r="AP252" s="4"/>
      <c r="AQ252" s="4"/>
      <c r="AR252" s="4"/>
      <c r="AS252" s="4"/>
      <c r="AT252" s="4"/>
      <c r="BN252" s="34"/>
    </row>
    <row r="253" spans="1:67" ht="13" customHeight="1">
      <c r="A253" s="19"/>
      <c r="B253" s="4"/>
      <c r="C253" s="4"/>
      <c r="D253" s="4" t="s">
        <v>580</v>
      </c>
      <c r="E253" s="4"/>
      <c r="M253" s="1527" t="s">
        <v>2653</v>
      </c>
      <c r="N253" s="1509"/>
      <c r="O253" s="1509"/>
      <c r="P253" s="1509"/>
      <c r="Q253" s="1509"/>
      <c r="R253" s="1509"/>
      <c r="S253" s="1509"/>
      <c r="T253" s="1509"/>
      <c r="V253" s="33" t="s">
        <v>86</v>
      </c>
      <c r="W253" s="1551" t="s">
        <v>2617</v>
      </c>
      <c r="X253" s="1486"/>
      <c r="Y253" s="4" t="s">
        <v>583</v>
      </c>
      <c r="AC253" s="1509">
        <v>92660</v>
      </c>
      <c r="AD253" s="1509"/>
      <c r="AE253" s="150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7" t="s">
        <v>2664</v>
      </c>
      <c r="N254" s="1509"/>
      <c r="O254" s="1509"/>
      <c r="P254" s="1509"/>
      <c r="Q254" s="1509"/>
      <c r="R254" s="1509"/>
      <c r="S254" s="1509"/>
      <c r="T254" s="1509"/>
      <c r="U254" s="1509"/>
      <c r="V254" s="1509"/>
      <c r="W254" s="1509"/>
      <c r="X254" s="1509"/>
      <c r="Y254" s="1509"/>
      <c r="Z254" s="1509"/>
      <c r="AA254" s="1509"/>
      <c r="AB254" s="1509"/>
      <c r="AC254" s="1509"/>
      <c r="AD254" s="1509"/>
      <c r="AE254" s="1509"/>
      <c r="AH254" s="1520">
        <v>1E-3</v>
      </c>
      <c r="AI254" s="1520"/>
      <c r="AJ254" s="1520"/>
      <c r="AK254" s="1520"/>
      <c r="AL254" s="4"/>
      <c r="AM254" s="4"/>
      <c r="AN254" s="4"/>
      <c r="AO254" s="4"/>
      <c r="AP254" s="4"/>
      <c r="AQ254" s="4"/>
      <c r="AR254" s="4"/>
      <c r="AS254" s="4"/>
      <c r="AT254" s="4"/>
    </row>
    <row r="255" spans="1:67" ht="13" customHeight="1">
      <c r="A255" s="19"/>
      <c r="B255" s="4"/>
      <c r="C255" s="4"/>
      <c r="D255" s="4" t="s">
        <v>88</v>
      </c>
      <c r="E255" s="4"/>
      <c r="F255" s="4"/>
      <c r="M255" s="1522" t="s">
        <v>2665</v>
      </c>
      <c r="N255" s="1501"/>
      <c r="O255" s="1501"/>
      <c r="P255" s="1501"/>
      <c r="Q255" s="1501"/>
      <c r="R255" s="1501"/>
      <c r="S255" s="4" t="s">
        <v>206</v>
      </c>
      <c r="T255" s="4"/>
      <c r="U255" s="1486"/>
      <c r="V255" s="1486"/>
      <c r="W255" s="1486"/>
      <c r="X255" s="4" t="s">
        <v>89</v>
      </c>
      <c r="Z255" s="1501"/>
      <c r="AA255" s="1501"/>
      <c r="AB255" s="1501"/>
      <c r="AC255" s="1501"/>
      <c r="AD255" s="1501"/>
      <c r="AE255" s="1501"/>
      <c r="AU255" s="4"/>
      <c r="AV255" s="4"/>
      <c r="AW255" s="4"/>
      <c r="AX255" s="4"/>
      <c r="AY255" s="4"/>
      <c r="BN255" s="34"/>
    </row>
    <row r="256" spans="1:67" ht="13" customHeight="1">
      <c r="A256" s="19"/>
      <c r="B256" s="4"/>
      <c r="C256" s="4"/>
      <c r="D256" s="4" t="s">
        <v>90</v>
      </c>
      <c r="E256" s="4"/>
      <c r="F256" s="4"/>
      <c r="M256" s="1538" t="s">
        <v>2666</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455" t="s">
        <v>534</v>
      </c>
      <c r="N257" s="1455"/>
      <c r="O257" s="1455"/>
      <c r="P257" s="1455"/>
      <c r="Q257" s="1455"/>
      <c r="R257" s="1455"/>
      <c r="S257" s="1455"/>
      <c r="T257" s="1455"/>
      <c r="U257" s="204" t="s">
        <v>906</v>
      </c>
      <c r="V257" s="204"/>
      <c r="W257" s="204"/>
      <c r="X257" s="204"/>
      <c r="Y257" s="204"/>
      <c r="Z257" s="204"/>
      <c r="AA257" s="1575" t="s">
        <v>2661</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09"/>
      <c r="N260" s="1509"/>
      <c r="O260" s="1509"/>
      <c r="P260" s="1509"/>
      <c r="Q260" s="1509"/>
      <c r="R260" s="1509"/>
      <c r="S260" s="1509"/>
      <c r="T260" s="1509"/>
      <c r="U260" s="1509"/>
      <c r="V260" s="1509"/>
      <c r="W260" s="1509"/>
      <c r="X260" s="1509"/>
      <c r="Y260" s="1509"/>
      <c r="Z260" s="1509"/>
      <c r="AA260" s="1509"/>
      <c r="AB260" s="1509"/>
      <c r="AC260" s="1509"/>
      <c r="AD260" s="1509"/>
      <c r="AE260" s="150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09"/>
      <c r="N261" s="1509"/>
      <c r="O261" s="1509"/>
      <c r="P261" s="1509"/>
      <c r="Q261" s="1509"/>
      <c r="R261" s="1509"/>
      <c r="S261" s="1509"/>
      <c r="T261" s="1509"/>
      <c r="V261" s="33" t="s">
        <v>86</v>
      </c>
      <c r="W261" s="1486"/>
      <c r="X261" s="1486"/>
      <c r="Y261" s="4" t="s">
        <v>583</v>
      </c>
      <c r="AC261" s="1509"/>
      <c r="AD261" s="1509"/>
      <c r="AE261" s="150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09"/>
      <c r="N262" s="1509"/>
      <c r="O262" s="1509"/>
      <c r="P262" s="1509"/>
      <c r="Q262" s="1509"/>
      <c r="R262" s="1509"/>
      <c r="S262" s="1509"/>
      <c r="T262" s="1509"/>
      <c r="U262" s="1509"/>
      <c r="V262" s="1509"/>
      <c r="W262" s="1509"/>
      <c r="X262" s="1509"/>
      <c r="Y262" s="1509"/>
      <c r="Z262" s="1509"/>
      <c r="AA262" s="1509"/>
      <c r="AB262" s="1509"/>
      <c r="AC262" s="1509"/>
      <c r="AD262" s="1509"/>
      <c r="AE262" s="1509"/>
      <c r="AH262" s="1520"/>
      <c r="AI262" s="1520"/>
      <c r="AJ262" s="1520"/>
      <c r="AK262" s="152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01"/>
      <c r="N263" s="1501"/>
      <c r="O263" s="1501"/>
      <c r="P263" s="1501"/>
      <c r="Q263" s="1501"/>
      <c r="R263" s="1501"/>
      <c r="S263" s="4" t="s">
        <v>206</v>
      </c>
      <c r="T263" s="4"/>
      <c r="U263" s="1486"/>
      <c r="V263" s="1486"/>
      <c r="W263" s="1486"/>
      <c r="X263" s="4" t="s">
        <v>89</v>
      </c>
      <c r="Z263" s="1501"/>
      <c r="AA263" s="1501"/>
      <c r="AB263" s="1501"/>
      <c r="AC263" s="1501"/>
      <c r="AD263" s="1501"/>
      <c r="AE263" s="150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455" t="s">
        <v>307</v>
      </c>
      <c r="N265" s="1455"/>
      <c r="O265" s="1455"/>
      <c r="P265" s="1455"/>
      <c r="Q265" s="1455"/>
      <c r="R265" s="1455"/>
      <c r="S265" s="1455"/>
      <c r="T265" s="1455"/>
      <c r="U265" s="204" t="s">
        <v>906</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09" t="s">
        <v>173</v>
      </c>
      <c r="E270" s="1509"/>
      <c r="F270" s="1509"/>
      <c r="G270" s="1509"/>
      <c r="H270" s="1509"/>
      <c r="J270" t="s">
        <v>279</v>
      </c>
      <c r="X270" s="1577">
        <v>45962</v>
      </c>
      <c r="Y270" s="1577"/>
      <c r="Z270" s="1577"/>
      <c r="AA270" s="1577"/>
      <c r="AB270" s="1577"/>
      <c r="AC270" s="1577"/>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67" t="s">
        <v>2621</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7" t="s">
        <v>2622</v>
      </c>
      <c r="M275" s="1509"/>
      <c r="N275" s="1509"/>
      <c r="O275" s="1509"/>
      <c r="P275" s="1509"/>
      <c r="Q275" s="1509"/>
      <c r="R275" s="1509"/>
      <c r="S275" s="1509"/>
      <c r="T275" s="1509"/>
      <c r="U275" s="1509"/>
      <c r="V275" s="1509"/>
      <c r="W275" s="1509"/>
      <c r="X275" s="1509"/>
      <c r="Y275" s="1509"/>
      <c r="Z275" s="1509"/>
      <c r="AA275" s="1509"/>
      <c r="AB275" s="1509"/>
      <c r="AC275" s="1509"/>
      <c r="AD275" s="1509"/>
      <c r="AK275" s="3"/>
      <c r="AL275" s="3"/>
      <c r="AM275" s="3"/>
      <c r="AN275" s="3"/>
      <c r="AO275" s="3"/>
      <c r="AP275" s="3"/>
      <c r="AQ275" s="3"/>
      <c r="AR275" s="3"/>
      <c r="AS275" s="3"/>
      <c r="AT275" s="3"/>
      <c r="AU275" s="3"/>
      <c r="AV275" s="3"/>
      <c r="AW275" s="3"/>
      <c r="AX275" s="3"/>
      <c r="AY275" s="3"/>
    </row>
    <row r="276" spans="1:51" ht="13" customHeight="1">
      <c r="D276" s="4" t="s">
        <v>580</v>
      </c>
      <c r="E276" s="4"/>
      <c r="L276" s="1527" t="s">
        <v>68</v>
      </c>
      <c r="M276" s="1509"/>
      <c r="N276" s="1509"/>
      <c r="O276" s="1509"/>
      <c r="P276" s="1509"/>
      <c r="Q276" s="1509"/>
      <c r="R276" s="1509"/>
      <c r="S276" s="1509"/>
      <c r="U276" s="33" t="s">
        <v>86</v>
      </c>
      <c r="V276" s="1551" t="s">
        <v>2617</v>
      </c>
      <c r="W276" s="1486"/>
      <c r="X276" s="4" t="s">
        <v>583</v>
      </c>
      <c r="AB276" s="1509">
        <v>95811</v>
      </c>
      <c r="AC276" s="1509"/>
      <c r="AD276" s="150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7" t="s">
        <v>2623</v>
      </c>
      <c r="M277" s="1509"/>
      <c r="N277" s="1509"/>
      <c r="O277" s="1509"/>
      <c r="P277" s="1509"/>
      <c r="Q277" s="1509"/>
      <c r="R277" s="1509"/>
      <c r="S277" s="1509"/>
      <c r="T277" s="1509"/>
      <c r="U277" s="1509"/>
      <c r="V277" s="1509"/>
      <c r="W277" s="1509"/>
      <c r="X277" s="1509"/>
      <c r="Y277" s="1509"/>
      <c r="Z277" s="1509"/>
      <c r="AA277" s="1509"/>
      <c r="AB277" s="1509"/>
      <c r="AC277" s="1509"/>
      <c r="AD277" s="1509"/>
      <c r="AI277" s="4"/>
      <c r="AJ277" s="4"/>
      <c r="AK277" s="3"/>
      <c r="AL277" s="3"/>
      <c r="AM277" s="3"/>
      <c r="AN277" s="3"/>
      <c r="AO277" s="3"/>
      <c r="AP277" s="3"/>
      <c r="AQ277" s="3"/>
      <c r="AR277" s="3"/>
      <c r="AS277" s="3"/>
      <c r="AT277" s="3"/>
    </row>
    <row r="278" spans="1:51" ht="13" customHeight="1">
      <c r="D278" s="4" t="s">
        <v>88</v>
      </c>
      <c r="E278" s="4"/>
      <c r="F278" s="4"/>
      <c r="L278" s="1522" t="s">
        <v>2627</v>
      </c>
      <c r="M278" s="1501"/>
      <c r="N278" s="1501"/>
      <c r="O278" s="1501"/>
      <c r="P278" s="1501"/>
      <c r="Q278" s="1501"/>
      <c r="R278" s="4" t="s">
        <v>206</v>
      </c>
      <c r="S278" s="4"/>
      <c r="T278" s="1486"/>
      <c r="U278" s="1486"/>
      <c r="V278" s="1486"/>
      <c r="W278" s="4" t="s">
        <v>89</v>
      </c>
      <c r="Y278" s="1501"/>
      <c r="Z278" s="1501"/>
      <c r="AA278" s="1501"/>
      <c r="AB278" s="1501"/>
      <c r="AC278" s="1501"/>
      <c r="AD278" s="1501"/>
    </row>
    <row r="279" spans="1:51" ht="13" customHeight="1">
      <c r="D279" s="4" t="s">
        <v>90</v>
      </c>
      <c r="E279" s="4"/>
      <c r="F279" s="4"/>
      <c r="L279" s="1538" t="s">
        <v>2630</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 customHeight="1">
      <c r="D280" s="3" t="s">
        <v>623</v>
      </c>
      <c r="E280" s="3"/>
      <c r="F280" s="3"/>
      <c r="G280" s="3"/>
      <c r="H280" s="3"/>
      <c r="I280" s="3"/>
      <c r="L280" s="1551" t="s">
        <v>2657</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58" t="s">
        <v>541</v>
      </c>
      <c r="B282" s="1558"/>
      <c r="C282" s="1558"/>
      <c r="D282" s="1558"/>
      <c r="E282" s="1558"/>
      <c r="F282" s="1558"/>
      <c r="G282" s="1558"/>
      <c r="H282" s="1558"/>
      <c r="I282" s="1558"/>
      <c r="J282" s="1558"/>
      <c r="K282" s="1558"/>
      <c r="L282" s="1558"/>
      <c r="M282" s="1558"/>
      <c r="N282" s="1558"/>
      <c r="O282" s="1558"/>
      <c r="P282" s="1558"/>
      <c r="Q282" s="1558"/>
      <c r="R282" s="1558"/>
      <c r="S282" s="1558"/>
      <c r="T282" s="1558"/>
      <c r="U282" s="1558"/>
      <c r="V282" s="1558"/>
      <c r="W282" s="1558"/>
      <c r="X282" s="1558"/>
      <c r="Y282" s="1558"/>
      <c r="Z282" s="1558"/>
      <c r="AA282" s="1558"/>
      <c r="AB282" s="1558"/>
      <c r="AC282" s="1558"/>
      <c r="AD282" s="1558"/>
      <c r="AE282" s="1558"/>
      <c r="AF282" s="1558"/>
      <c r="AG282" s="1558"/>
      <c r="AH282" s="1558"/>
      <c r="AI282" s="1558"/>
      <c r="AJ282" s="1558"/>
      <c r="AK282" s="1558"/>
      <c r="AL282" s="1558"/>
      <c r="AM282" s="1558"/>
      <c r="AN282" s="1558"/>
      <c r="AO282" s="1558"/>
      <c r="AP282" s="1558"/>
      <c r="AQ282" s="1558"/>
      <c r="AR282" s="1558"/>
      <c r="AS282" s="1558"/>
      <c r="AT282" s="1558"/>
      <c r="AU282" s="95"/>
      <c r="AV282" s="95"/>
      <c r="AW282" s="95"/>
      <c r="AX282" s="95"/>
      <c r="AY282" s="95"/>
    </row>
    <row r="283" spans="1:51" ht="13" customHeight="1">
      <c r="A283" s="1558"/>
      <c r="B283" s="1558"/>
      <c r="C283" s="1558"/>
      <c r="D283" s="1558"/>
      <c r="E283" s="1558"/>
      <c r="F283" s="1558"/>
      <c r="G283" s="1558"/>
      <c r="H283" s="1558"/>
      <c r="I283" s="1558"/>
      <c r="J283" s="1558"/>
      <c r="K283" s="1558"/>
      <c r="L283" s="1558"/>
      <c r="M283" s="1558"/>
      <c r="N283" s="1558"/>
      <c r="O283" s="1558"/>
      <c r="P283" s="1558"/>
      <c r="Q283" s="1558"/>
      <c r="R283" s="1558"/>
      <c r="S283" s="1558"/>
      <c r="T283" s="1558"/>
      <c r="U283" s="1558"/>
      <c r="V283" s="1558"/>
      <c r="W283" s="1558"/>
      <c r="X283" s="1558"/>
      <c r="Y283" s="1558"/>
      <c r="Z283" s="1558"/>
      <c r="AA283" s="1558"/>
      <c r="AB283" s="1558"/>
      <c r="AC283" s="1558"/>
      <c r="AD283" s="1558"/>
      <c r="AE283" s="1558"/>
      <c r="AF283" s="1558"/>
      <c r="AG283" s="1558"/>
      <c r="AH283" s="1558"/>
      <c r="AI283" s="1558"/>
      <c r="AJ283" s="1558"/>
      <c r="AK283" s="1558"/>
      <c r="AL283" s="1558"/>
      <c r="AM283" s="1558"/>
      <c r="AN283" s="1558"/>
      <c r="AO283" s="1558"/>
      <c r="AP283" s="1558"/>
      <c r="AQ283" s="1558"/>
      <c r="AR283" s="1558"/>
      <c r="AS283" s="1558"/>
      <c r="AT283" s="1558"/>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87" t="s">
        <v>2624</v>
      </c>
      <c r="I287" s="1487"/>
      <c r="J287" s="1487"/>
      <c r="K287" s="1487"/>
      <c r="L287" s="1487"/>
      <c r="M287" s="1487"/>
      <c r="N287" s="1487"/>
      <c r="O287" s="1487"/>
      <c r="P287" s="1487"/>
      <c r="Q287" s="1487"/>
      <c r="R287" s="1487"/>
      <c r="T287" s="3" t="s">
        <v>567</v>
      </c>
      <c r="V287" s="3"/>
      <c r="W287" s="3"/>
      <c r="X287" s="3"/>
      <c r="Y287" s="3"/>
      <c r="AA287" s="1487" t="s">
        <v>2636</v>
      </c>
      <c r="AB287" s="1487"/>
      <c r="AC287" s="1487"/>
      <c r="AD287" s="1487"/>
      <c r="AE287" s="1487"/>
      <c r="AF287" s="1487"/>
      <c r="AG287" s="1487"/>
      <c r="AH287" s="1487"/>
      <c r="AI287" s="1487"/>
      <c r="AJ287" s="1487"/>
      <c r="AK287" s="1487"/>
    </row>
    <row r="288" spans="1:51" ht="13" customHeight="1">
      <c r="B288" s="3" t="s">
        <v>471</v>
      </c>
      <c r="C288" s="3"/>
      <c r="D288" s="3"/>
      <c r="E288" s="3"/>
      <c r="F288" s="3"/>
      <c r="H288" s="1455" t="s">
        <v>2625</v>
      </c>
      <c r="I288" s="1455"/>
      <c r="J288" s="1455"/>
      <c r="K288" s="1455"/>
      <c r="L288" s="1455"/>
      <c r="M288" s="1455"/>
      <c r="N288" s="1455"/>
      <c r="O288" s="1455"/>
      <c r="P288" s="1455"/>
      <c r="Q288" s="1455"/>
      <c r="R288" s="1455"/>
      <c r="T288" s="3" t="s">
        <v>471</v>
      </c>
      <c r="V288" s="3"/>
      <c r="W288" s="3"/>
      <c r="X288" s="3"/>
      <c r="Y288" s="3"/>
      <c r="AA288" s="1455" t="s">
        <v>2637</v>
      </c>
      <c r="AB288" s="1455"/>
      <c r="AC288" s="1455"/>
      <c r="AD288" s="1455"/>
      <c r="AE288" s="1455"/>
      <c r="AF288" s="1455"/>
      <c r="AG288" s="1455"/>
      <c r="AH288" s="1455"/>
      <c r="AI288" s="1455"/>
      <c r="AJ288" s="1455"/>
      <c r="AK288" s="1455"/>
    </row>
    <row r="289" spans="2:37" ht="13" customHeight="1">
      <c r="B289" s="3" t="s">
        <v>472</v>
      </c>
      <c r="C289" s="3"/>
      <c r="D289" s="3"/>
      <c r="E289" s="3"/>
      <c r="F289" s="3"/>
      <c r="H289" s="1455" t="s">
        <v>2626</v>
      </c>
      <c r="I289" s="1455"/>
      <c r="J289" s="1455"/>
      <c r="K289" s="1455"/>
      <c r="L289" s="1455"/>
      <c r="M289" s="1455"/>
      <c r="N289" s="1455"/>
      <c r="O289" s="1455"/>
      <c r="P289" s="1455"/>
      <c r="Q289" s="1455"/>
      <c r="R289" s="1455"/>
      <c r="T289" s="3" t="s">
        <v>75</v>
      </c>
      <c r="V289" s="3"/>
      <c r="W289" s="3"/>
      <c r="X289" s="3"/>
      <c r="Y289" s="3"/>
      <c r="AA289" s="1455" t="s">
        <v>2638</v>
      </c>
      <c r="AB289" s="1455"/>
      <c r="AC289" s="1455"/>
      <c r="AD289" s="1455"/>
      <c r="AE289" s="1455"/>
      <c r="AF289" s="1455"/>
      <c r="AG289" s="1455"/>
      <c r="AH289" s="1455"/>
      <c r="AI289" s="1455"/>
      <c r="AJ289" s="1455"/>
      <c r="AK289" s="1455"/>
    </row>
    <row r="290" spans="2:37" ht="13" customHeight="1">
      <c r="B290" s="3" t="s">
        <v>87</v>
      </c>
      <c r="C290" s="3"/>
      <c r="D290" s="3"/>
      <c r="E290" s="3"/>
      <c r="F290" s="3"/>
      <c r="H290" s="1455" t="s">
        <v>2618</v>
      </c>
      <c r="I290" s="1455"/>
      <c r="J290" s="1455"/>
      <c r="K290" s="1455"/>
      <c r="L290" s="1455"/>
      <c r="M290" s="1455"/>
      <c r="N290" s="1455"/>
      <c r="O290" s="1455"/>
      <c r="P290" s="1455"/>
      <c r="Q290" s="1455"/>
      <c r="R290" s="1455"/>
      <c r="T290" s="3" t="s">
        <v>87</v>
      </c>
      <c r="V290" s="3"/>
      <c r="W290" s="3"/>
      <c r="X290" s="3"/>
      <c r="Y290" s="3"/>
      <c r="AA290" s="1455" t="s">
        <v>2639</v>
      </c>
      <c r="AB290" s="1455"/>
      <c r="AC290" s="1455"/>
      <c r="AD290" s="1455"/>
      <c r="AE290" s="1455"/>
      <c r="AF290" s="1455"/>
      <c r="AG290" s="1455"/>
      <c r="AH290" s="1455"/>
      <c r="AI290" s="1455"/>
      <c r="AJ290" s="1455"/>
      <c r="AK290" s="1455"/>
    </row>
    <row r="291" spans="2:37" ht="13" customHeight="1">
      <c r="B291" s="3" t="s">
        <v>88</v>
      </c>
      <c r="C291" s="3"/>
      <c r="D291" s="3"/>
      <c r="E291" s="3"/>
      <c r="F291" s="3"/>
      <c r="G291" s="3"/>
      <c r="H291" s="1535" t="s">
        <v>2619</v>
      </c>
      <c r="I291" s="1536"/>
      <c r="J291" s="1536"/>
      <c r="K291" s="1536"/>
      <c r="L291" s="1536"/>
      <c r="M291" s="1536"/>
      <c r="N291" s="4" t="s">
        <v>206</v>
      </c>
      <c r="O291" s="4"/>
      <c r="P291" s="1509"/>
      <c r="Q291" s="1509"/>
      <c r="R291" s="1509"/>
      <c r="S291" s="3"/>
      <c r="T291" s="3" t="s">
        <v>88</v>
      </c>
      <c r="V291" s="3"/>
      <c r="W291" s="3"/>
      <c r="X291" s="3"/>
      <c r="Y291" s="3"/>
      <c r="AA291" s="1535" t="s">
        <v>2640</v>
      </c>
      <c r="AB291" s="1536"/>
      <c r="AC291" s="1536"/>
      <c r="AD291" s="1536"/>
      <c r="AE291" s="1536"/>
      <c r="AF291" s="1536"/>
      <c r="AG291" s="4" t="s">
        <v>206</v>
      </c>
      <c r="AH291" s="4"/>
      <c r="AI291" s="1509"/>
      <c r="AJ291" s="1509"/>
      <c r="AK291" s="1509"/>
    </row>
    <row r="292" spans="2:37" ht="13" customHeight="1">
      <c r="B292" s="3" t="s">
        <v>89</v>
      </c>
      <c r="C292" s="3"/>
      <c r="D292" s="3"/>
      <c r="E292" s="3"/>
      <c r="F292" s="3"/>
      <c r="G292" s="3"/>
      <c r="H292" s="1501"/>
      <c r="I292" s="1501"/>
      <c r="J292" s="1501"/>
      <c r="K292" s="1501"/>
      <c r="L292" s="1501"/>
      <c r="M292" s="1501"/>
      <c r="N292" s="4"/>
      <c r="O292" s="4"/>
      <c r="P292" s="35"/>
      <c r="Q292" s="35"/>
      <c r="R292" s="35"/>
      <c r="S292" s="3"/>
      <c r="T292" s="3" t="s">
        <v>89</v>
      </c>
      <c r="V292" s="3"/>
      <c r="W292" s="3"/>
      <c r="X292" s="3"/>
      <c r="Y292" s="3"/>
      <c r="AA292" s="1501"/>
      <c r="AB292" s="1501"/>
      <c r="AC292" s="1501"/>
      <c r="AD292" s="1501"/>
      <c r="AE292" s="1501"/>
      <c r="AF292" s="1501"/>
      <c r="AG292" s="4"/>
      <c r="AH292" s="4"/>
      <c r="AI292" s="35"/>
      <c r="AJ292" s="35"/>
      <c r="AK292" s="35"/>
    </row>
    <row r="293" spans="2:37" ht="13" customHeight="1">
      <c r="B293" s="3" t="s">
        <v>76</v>
      </c>
      <c r="C293" s="3"/>
      <c r="D293" s="3"/>
      <c r="E293" s="3"/>
      <c r="F293" s="3"/>
      <c r="G293" s="3"/>
      <c r="H293" s="1455" t="s">
        <v>2620</v>
      </c>
      <c r="I293" s="1455"/>
      <c r="J293" s="1455"/>
      <c r="K293" s="1455"/>
      <c r="L293" s="1455"/>
      <c r="M293" s="1455"/>
      <c r="N293" s="1487"/>
      <c r="O293" s="1487"/>
      <c r="P293" s="1487"/>
      <c r="Q293" s="1487"/>
      <c r="R293" s="1487"/>
      <c r="S293" s="3"/>
      <c r="T293" s="3" t="s">
        <v>76</v>
      </c>
      <c r="V293" s="3"/>
      <c r="W293" s="3"/>
      <c r="X293" s="3"/>
      <c r="Y293" s="3"/>
      <c r="AA293" s="1455" t="s">
        <v>2686</v>
      </c>
      <c r="AB293" s="1455"/>
      <c r="AC293" s="1455"/>
      <c r="AD293" s="1455"/>
      <c r="AE293" s="1455"/>
      <c r="AF293" s="1455"/>
      <c r="AG293" s="1487"/>
      <c r="AH293" s="1487"/>
      <c r="AI293" s="1487"/>
      <c r="AJ293" s="1487"/>
      <c r="AK293" s="148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87" t="s">
        <v>2621</v>
      </c>
      <c r="I295" s="1487"/>
      <c r="J295" s="1487"/>
      <c r="K295" s="1487"/>
      <c r="L295" s="1487"/>
      <c r="M295" s="1487"/>
      <c r="N295" s="1487"/>
      <c r="O295" s="1487"/>
      <c r="P295" s="1487"/>
      <c r="Q295" s="1487"/>
      <c r="R295" s="1487"/>
      <c r="T295" s="3" t="s">
        <v>364</v>
      </c>
      <c r="V295" s="3"/>
      <c r="W295" s="3"/>
      <c r="X295" s="3"/>
      <c r="Y295" s="3"/>
      <c r="AA295" s="1487" t="s">
        <v>2687</v>
      </c>
      <c r="AB295" s="1487"/>
      <c r="AC295" s="1487"/>
      <c r="AD295" s="1487"/>
      <c r="AE295" s="1487"/>
      <c r="AF295" s="1487"/>
      <c r="AG295" s="1487"/>
      <c r="AH295" s="1487"/>
      <c r="AI295" s="1487"/>
      <c r="AJ295" s="1487"/>
      <c r="AK295" s="1487"/>
    </row>
    <row r="296" spans="2:37" ht="13" customHeight="1">
      <c r="B296" s="3" t="s">
        <v>471</v>
      </c>
      <c r="C296" s="3"/>
      <c r="D296" s="3"/>
      <c r="E296" s="3"/>
      <c r="F296" s="3"/>
      <c r="H296" s="1455" t="s">
        <v>2622</v>
      </c>
      <c r="I296" s="1455"/>
      <c r="J296" s="1455"/>
      <c r="K296" s="1455"/>
      <c r="L296" s="1455"/>
      <c r="M296" s="1455"/>
      <c r="N296" s="1455"/>
      <c r="O296" s="1455"/>
      <c r="P296" s="1455"/>
      <c r="Q296" s="1455"/>
      <c r="R296" s="1455"/>
      <c r="T296" s="3" t="s">
        <v>471</v>
      </c>
      <c r="V296" s="3"/>
      <c r="W296" s="3"/>
      <c r="X296" s="3"/>
      <c r="Y296" s="3"/>
      <c r="AA296" s="1455"/>
      <c r="AB296" s="1455"/>
      <c r="AC296" s="1455"/>
      <c r="AD296" s="1455"/>
      <c r="AE296" s="1455"/>
      <c r="AF296" s="1455"/>
      <c r="AG296" s="1455"/>
      <c r="AH296" s="1455"/>
      <c r="AI296" s="1455"/>
      <c r="AJ296" s="1455"/>
      <c r="AK296" s="1455"/>
    </row>
    <row r="297" spans="2:37" ht="13" customHeight="1">
      <c r="B297" s="3" t="s">
        <v>472</v>
      </c>
      <c r="C297" s="3"/>
      <c r="D297" s="3"/>
      <c r="E297" s="3"/>
      <c r="F297" s="3"/>
      <c r="H297" s="1455" t="s">
        <v>2628</v>
      </c>
      <c r="I297" s="1455"/>
      <c r="J297" s="1455"/>
      <c r="K297" s="1455"/>
      <c r="L297" s="1455"/>
      <c r="M297" s="1455"/>
      <c r="N297" s="1455"/>
      <c r="O297" s="1455"/>
      <c r="P297" s="1455"/>
      <c r="Q297" s="1455"/>
      <c r="R297" s="1455"/>
      <c r="T297" s="3" t="s">
        <v>75</v>
      </c>
      <c r="V297" s="3"/>
      <c r="W297" s="3"/>
      <c r="X297" s="3"/>
      <c r="Y297" s="3"/>
      <c r="AA297" s="1455"/>
      <c r="AB297" s="1455"/>
      <c r="AC297" s="1455"/>
      <c r="AD297" s="1455"/>
      <c r="AE297" s="1455"/>
      <c r="AF297" s="1455"/>
      <c r="AG297" s="1455"/>
      <c r="AH297" s="1455"/>
      <c r="AI297" s="1455"/>
      <c r="AJ297" s="1455"/>
      <c r="AK297" s="1455"/>
    </row>
    <row r="298" spans="2:37" ht="13" customHeight="1">
      <c r="B298" s="3" t="s">
        <v>87</v>
      </c>
      <c r="C298" s="3"/>
      <c r="D298" s="3"/>
      <c r="E298" s="3"/>
      <c r="F298" s="3"/>
      <c r="H298" s="1455" t="s">
        <v>2629</v>
      </c>
      <c r="I298" s="1455"/>
      <c r="J298" s="1455"/>
      <c r="K298" s="1455"/>
      <c r="L298" s="1455"/>
      <c r="M298" s="1455"/>
      <c r="N298" s="1455"/>
      <c r="O298" s="1455"/>
      <c r="P298" s="1455"/>
      <c r="Q298" s="1455"/>
      <c r="R298" s="1455"/>
      <c r="T298" s="3" t="s">
        <v>87</v>
      </c>
      <c r="V298" s="3"/>
      <c r="W298" s="3"/>
      <c r="X298" s="3"/>
      <c r="Y298" s="3"/>
      <c r="AA298" s="1455"/>
      <c r="AB298" s="1455"/>
      <c r="AC298" s="1455"/>
      <c r="AD298" s="1455"/>
      <c r="AE298" s="1455"/>
      <c r="AF298" s="1455"/>
      <c r="AG298" s="1455"/>
      <c r="AH298" s="1455"/>
      <c r="AI298" s="1455"/>
      <c r="AJ298" s="1455"/>
      <c r="AK298" s="1455"/>
    </row>
    <row r="299" spans="2:37" ht="13" customHeight="1">
      <c r="B299" s="3" t="s">
        <v>88</v>
      </c>
      <c r="C299" s="3"/>
      <c r="D299" s="3"/>
      <c r="E299" s="3"/>
      <c r="F299" s="3"/>
      <c r="G299" s="3"/>
      <c r="H299" s="1535" t="s">
        <v>2627</v>
      </c>
      <c r="I299" s="1536"/>
      <c r="J299" s="1536"/>
      <c r="K299" s="1536"/>
      <c r="L299" s="1536"/>
      <c r="M299" s="1536"/>
      <c r="N299" s="4" t="s">
        <v>206</v>
      </c>
      <c r="O299" s="4"/>
      <c r="P299" s="1509"/>
      <c r="Q299" s="1509"/>
      <c r="R299" s="1509"/>
      <c r="S299" s="3"/>
      <c r="T299" s="3" t="s">
        <v>88</v>
      </c>
      <c r="V299" s="3"/>
      <c r="W299" s="3"/>
      <c r="X299" s="3"/>
      <c r="Y299" s="3"/>
      <c r="AA299" s="1536"/>
      <c r="AB299" s="1536"/>
      <c r="AC299" s="1536"/>
      <c r="AD299" s="1536"/>
      <c r="AE299" s="1536"/>
      <c r="AF299" s="1536"/>
      <c r="AG299" s="4" t="s">
        <v>206</v>
      </c>
      <c r="AH299" s="4"/>
      <c r="AI299" s="1509"/>
      <c r="AJ299" s="1509"/>
      <c r="AK299" s="1509"/>
    </row>
    <row r="300" spans="2:37" ht="13" customHeight="1">
      <c r="B300" s="3" t="s">
        <v>89</v>
      </c>
      <c r="C300" s="3"/>
      <c r="D300" s="3"/>
      <c r="E300" s="3"/>
      <c r="F300" s="3"/>
      <c r="G300" s="3"/>
      <c r="H300" s="1501"/>
      <c r="I300" s="1501"/>
      <c r="J300" s="1501"/>
      <c r="K300" s="1501"/>
      <c r="L300" s="1501"/>
      <c r="M300" s="1501"/>
      <c r="N300" s="4"/>
      <c r="O300" s="4"/>
      <c r="P300" s="35"/>
      <c r="Q300" s="35"/>
      <c r="R300" s="35"/>
      <c r="S300" s="3"/>
      <c r="T300" s="3" t="s">
        <v>89</v>
      </c>
      <c r="V300" s="3"/>
      <c r="W300" s="3"/>
      <c r="X300" s="3"/>
      <c r="Y300" s="3"/>
      <c r="AA300" s="1501"/>
      <c r="AB300" s="1501"/>
      <c r="AC300" s="1501"/>
      <c r="AD300" s="1501"/>
      <c r="AE300" s="1501"/>
      <c r="AF300" s="1501"/>
      <c r="AG300" s="4"/>
      <c r="AH300" s="4"/>
      <c r="AI300" s="35"/>
      <c r="AJ300" s="35"/>
      <c r="AK300" s="35"/>
    </row>
    <row r="301" spans="2:37" ht="13" customHeight="1">
      <c r="B301" s="3" t="s">
        <v>76</v>
      </c>
      <c r="C301" s="3"/>
      <c r="D301" s="3"/>
      <c r="E301" s="3"/>
      <c r="F301" s="3"/>
      <c r="G301" s="3"/>
      <c r="H301" s="1455" t="s">
        <v>2630</v>
      </c>
      <c r="I301" s="1455"/>
      <c r="J301" s="1455"/>
      <c r="K301" s="1455"/>
      <c r="L301" s="1455"/>
      <c r="M301" s="1455"/>
      <c r="N301" s="1487"/>
      <c r="O301" s="1487"/>
      <c r="P301" s="1487"/>
      <c r="Q301" s="1487"/>
      <c r="R301" s="1487"/>
      <c r="S301" s="3"/>
      <c r="T301" s="3" t="s">
        <v>76</v>
      </c>
      <c r="V301" s="3"/>
      <c r="W301" s="3"/>
      <c r="X301" s="3"/>
      <c r="Y301" s="3"/>
      <c r="AA301" s="1455"/>
      <c r="AB301" s="1455"/>
      <c r="AC301" s="1455"/>
      <c r="AD301" s="1455"/>
      <c r="AE301" s="1455"/>
      <c r="AF301" s="1455"/>
      <c r="AG301" s="1487"/>
      <c r="AH301" s="1487"/>
      <c r="AI301" s="1487"/>
      <c r="AJ301" s="1487"/>
      <c r="AK301" s="1487"/>
    </row>
    <row r="302" spans="2:37" ht="13" customHeight="1"/>
    <row r="303" spans="2:37" ht="13" customHeight="1">
      <c r="B303" s="3" t="s">
        <v>77</v>
      </c>
      <c r="C303" s="3"/>
      <c r="D303" s="3"/>
      <c r="E303" s="3"/>
      <c r="F303" s="3"/>
      <c r="H303" s="1487" t="s">
        <v>2621</v>
      </c>
      <c r="I303" s="1487"/>
      <c r="J303" s="1487"/>
      <c r="K303" s="1487"/>
      <c r="L303" s="1487"/>
      <c r="M303" s="1487"/>
      <c r="N303" s="1487"/>
      <c r="O303" s="1487"/>
      <c r="P303" s="1487"/>
      <c r="Q303" s="1487"/>
      <c r="R303" s="1487"/>
      <c r="T303" s="4" t="s">
        <v>878</v>
      </c>
      <c r="V303" s="3"/>
      <c r="W303" s="3"/>
      <c r="X303" s="3"/>
      <c r="Y303" s="3"/>
      <c r="AA303" s="1487" t="s">
        <v>2687</v>
      </c>
      <c r="AB303" s="1487"/>
      <c r="AC303" s="1487"/>
      <c r="AD303" s="1487"/>
      <c r="AE303" s="1487"/>
      <c r="AF303" s="1487"/>
      <c r="AG303" s="1487"/>
      <c r="AH303" s="1487"/>
      <c r="AI303" s="1487"/>
      <c r="AJ303" s="1487"/>
      <c r="AK303" s="1487"/>
    </row>
    <row r="304" spans="2:37" ht="13" customHeight="1">
      <c r="B304" s="3" t="s">
        <v>471</v>
      </c>
      <c r="C304" s="3"/>
      <c r="D304" s="3"/>
      <c r="E304" s="3"/>
      <c r="F304" s="3"/>
      <c r="H304" s="1455" t="s">
        <v>2622</v>
      </c>
      <c r="I304" s="1455"/>
      <c r="J304" s="1455"/>
      <c r="K304" s="1455"/>
      <c r="L304" s="1455"/>
      <c r="M304" s="1455"/>
      <c r="N304" s="1455"/>
      <c r="O304" s="1455"/>
      <c r="P304" s="1455"/>
      <c r="Q304" s="1455"/>
      <c r="R304" s="1455"/>
      <c r="T304" s="3" t="s">
        <v>471</v>
      </c>
      <c r="V304" s="3"/>
      <c r="W304" s="3"/>
      <c r="X304" s="3"/>
      <c r="Y304" s="3"/>
      <c r="AA304" s="1455"/>
      <c r="AB304" s="1455"/>
      <c r="AC304" s="1455"/>
      <c r="AD304" s="1455"/>
      <c r="AE304" s="1455"/>
      <c r="AF304" s="1455"/>
      <c r="AG304" s="1455"/>
      <c r="AH304" s="1455"/>
      <c r="AI304" s="1455"/>
      <c r="AJ304" s="1455"/>
      <c r="AK304" s="1455"/>
    </row>
    <row r="305" spans="2:37" ht="13" customHeight="1">
      <c r="B305" s="3" t="s">
        <v>472</v>
      </c>
      <c r="C305" s="3"/>
      <c r="D305" s="3"/>
      <c r="E305" s="3"/>
      <c r="F305" s="3"/>
      <c r="H305" s="1455" t="s">
        <v>2628</v>
      </c>
      <c r="I305" s="1455"/>
      <c r="J305" s="1455"/>
      <c r="K305" s="1455"/>
      <c r="L305" s="1455"/>
      <c r="M305" s="1455"/>
      <c r="N305" s="1455"/>
      <c r="O305" s="1455"/>
      <c r="P305" s="1455"/>
      <c r="Q305" s="1455"/>
      <c r="R305" s="1455"/>
      <c r="T305" s="3" t="s">
        <v>75</v>
      </c>
      <c r="V305" s="3"/>
      <c r="W305" s="3"/>
      <c r="X305" s="3"/>
      <c r="Y305" s="3"/>
      <c r="AA305" s="1455"/>
      <c r="AB305" s="1455"/>
      <c r="AC305" s="1455"/>
      <c r="AD305" s="1455"/>
      <c r="AE305" s="1455"/>
      <c r="AF305" s="1455"/>
      <c r="AG305" s="1455"/>
      <c r="AH305" s="1455"/>
      <c r="AI305" s="1455"/>
      <c r="AJ305" s="1455"/>
      <c r="AK305" s="1455"/>
    </row>
    <row r="306" spans="2:37" ht="13" customHeight="1">
      <c r="B306" s="3" t="s">
        <v>87</v>
      </c>
      <c r="C306" s="3"/>
      <c r="D306" s="3"/>
      <c r="E306" s="3"/>
      <c r="F306" s="3"/>
      <c r="H306" s="1455" t="s">
        <v>2623</v>
      </c>
      <c r="I306" s="1455"/>
      <c r="J306" s="1455"/>
      <c r="K306" s="1455"/>
      <c r="L306" s="1455"/>
      <c r="M306" s="1455"/>
      <c r="N306" s="1455"/>
      <c r="O306" s="1455"/>
      <c r="P306" s="1455"/>
      <c r="Q306" s="1455"/>
      <c r="R306" s="1455"/>
      <c r="T306" s="3" t="s">
        <v>87</v>
      </c>
      <c r="V306" s="3"/>
      <c r="W306" s="3"/>
      <c r="X306" s="3"/>
      <c r="Y306" s="3"/>
      <c r="AA306" s="1455"/>
      <c r="AB306" s="1455"/>
      <c r="AC306" s="1455"/>
      <c r="AD306" s="1455"/>
      <c r="AE306" s="1455"/>
      <c r="AF306" s="1455"/>
      <c r="AG306" s="1455"/>
      <c r="AH306" s="1455"/>
      <c r="AI306" s="1455"/>
      <c r="AJ306" s="1455"/>
      <c r="AK306" s="1455"/>
    </row>
    <row r="307" spans="2:37" ht="13" customHeight="1">
      <c r="B307" s="3" t="s">
        <v>88</v>
      </c>
      <c r="C307" s="3"/>
      <c r="D307" s="3"/>
      <c r="E307" s="3"/>
      <c r="F307" s="3"/>
      <c r="G307" s="3"/>
      <c r="H307" s="1535" t="s">
        <v>2627</v>
      </c>
      <c r="I307" s="1536"/>
      <c r="J307" s="1536"/>
      <c r="K307" s="1536"/>
      <c r="L307" s="1536"/>
      <c r="M307" s="1536"/>
      <c r="N307" s="4" t="s">
        <v>206</v>
      </c>
      <c r="O307" s="4"/>
      <c r="P307" s="1509"/>
      <c r="Q307" s="1509"/>
      <c r="R307" s="1509"/>
      <c r="S307" s="3"/>
      <c r="T307" s="3" t="s">
        <v>88</v>
      </c>
      <c r="V307" s="3"/>
      <c r="W307" s="3"/>
      <c r="X307" s="3"/>
      <c r="Y307" s="3"/>
      <c r="AA307" s="1536"/>
      <c r="AB307" s="1536"/>
      <c r="AC307" s="1536"/>
      <c r="AD307" s="1536"/>
      <c r="AE307" s="1536"/>
      <c r="AF307" s="1536"/>
      <c r="AG307" s="4" t="s">
        <v>206</v>
      </c>
      <c r="AH307" s="4"/>
      <c r="AI307" s="1509"/>
      <c r="AJ307" s="1509"/>
      <c r="AK307" s="1509"/>
    </row>
    <row r="308" spans="2:37" ht="13" customHeight="1">
      <c r="B308" s="3" t="s">
        <v>89</v>
      </c>
      <c r="C308" s="3"/>
      <c r="D308" s="3"/>
      <c r="E308" s="3"/>
      <c r="F308" s="3"/>
      <c r="G308" s="3"/>
      <c r="H308" s="1501"/>
      <c r="I308" s="1501"/>
      <c r="J308" s="1501"/>
      <c r="K308" s="1501"/>
      <c r="L308" s="1501"/>
      <c r="M308" s="1501"/>
      <c r="N308" s="4"/>
      <c r="O308" s="4"/>
      <c r="P308" s="35"/>
      <c r="Q308" s="35"/>
      <c r="R308" s="35"/>
      <c r="S308" s="3"/>
      <c r="T308" s="3" t="s">
        <v>89</v>
      </c>
      <c r="V308" s="3"/>
      <c r="W308" s="3"/>
      <c r="X308" s="3"/>
      <c r="Y308" s="3"/>
      <c r="AA308" s="1501"/>
      <c r="AB308" s="1501"/>
      <c r="AC308" s="1501"/>
      <c r="AD308" s="1501"/>
      <c r="AE308" s="1501"/>
      <c r="AF308" s="1501"/>
      <c r="AG308" s="4"/>
      <c r="AH308" s="4"/>
      <c r="AI308" s="35"/>
      <c r="AJ308" s="35"/>
      <c r="AK308" s="35"/>
    </row>
    <row r="309" spans="2:37" ht="13" customHeight="1">
      <c r="B309" s="3" t="s">
        <v>76</v>
      </c>
      <c r="C309" s="3"/>
      <c r="D309" s="3"/>
      <c r="E309" s="3"/>
      <c r="F309" s="3"/>
      <c r="G309" s="3"/>
      <c r="H309" s="1455" t="s">
        <v>2630</v>
      </c>
      <c r="I309" s="1455"/>
      <c r="J309" s="1455"/>
      <c r="K309" s="1455"/>
      <c r="L309" s="1455"/>
      <c r="M309" s="1455"/>
      <c r="N309" s="1487"/>
      <c r="O309" s="1487"/>
      <c r="P309" s="1487"/>
      <c r="Q309" s="1487"/>
      <c r="R309" s="1487"/>
      <c r="S309" s="3"/>
      <c r="T309" s="3" t="s">
        <v>76</v>
      </c>
      <c r="V309" s="3"/>
      <c r="W309" s="3"/>
      <c r="X309" s="3"/>
      <c r="Y309" s="3"/>
      <c r="AA309" s="1455"/>
      <c r="AB309" s="1455"/>
      <c r="AC309" s="1455"/>
      <c r="AD309" s="1455"/>
      <c r="AE309" s="1455"/>
      <c r="AF309" s="1455"/>
      <c r="AG309" s="1487"/>
      <c r="AH309" s="1487"/>
      <c r="AI309" s="1487"/>
      <c r="AJ309" s="1487"/>
      <c r="AK309" s="148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87" t="s">
        <v>2693</v>
      </c>
      <c r="I311" s="1487"/>
      <c r="J311" s="1487"/>
      <c r="K311" s="1487"/>
      <c r="L311" s="1487"/>
      <c r="M311" s="1487"/>
      <c r="N311" s="1487"/>
      <c r="O311" s="1487"/>
      <c r="P311" s="1487"/>
      <c r="Q311" s="1487"/>
      <c r="R311" s="1487"/>
      <c r="S311" s="3"/>
      <c r="T311" s="3" t="s">
        <v>365</v>
      </c>
      <c r="V311" s="3"/>
      <c r="W311" s="3"/>
      <c r="X311" s="3"/>
      <c r="Y311" s="3"/>
      <c r="AA311" s="1487" t="s">
        <v>2688</v>
      </c>
      <c r="AB311" s="1487"/>
      <c r="AC311" s="1487"/>
      <c r="AD311" s="1487"/>
      <c r="AE311" s="1487"/>
      <c r="AF311" s="1487"/>
      <c r="AG311" s="1487"/>
      <c r="AH311" s="1487"/>
      <c r="AI311" s="1487"/>
      <c r="AJ311" s="1487"/>
      <c r="AK311" s="1487"/>
    </row>
    <row r="312" spans="2:37" ht="13" customHeight="1">
      <c r="B312" s="3" t="s">
        <v>471</v>
      </c>
      <c r="C312" s="3"/>
      <c r="D312" s="3"/>
      <c r="E312" s="3"/>
      <c r="F312" s="3"/>
      <c r="H312" s="1455" t="s">
        <v>2694</v>
      </c>
      <c r="I312" s="1455"/>
      <c r="J312" s="1455"/>
      <c r="K312" s="1455"/>
      <c r="L312" s="1455"/>
      <c r="M312" s="1455"/>
      <c r="N312" s="1455"/>
      <c r="O312" s="1455"/>
      <c r="P312" s="1455"/>
      <c r="Q312" s="1455"/>
      <c r="R312" s="1455"/>
      <c r="S312" s="3"/>
      <c r="T312" s="3" t="s">
        <v>471</v>
      </c>
      <c r="V312" s="3"/>
      <c r="W312" s="3"/>
      <c r="X312" s="3"/>
      <c r="Y312" s="3"/>
      <c r="AA312" s="1455" t="s">
        <v>2689</v>
      </c>
      <c r="AB312" s="1455"/>
      <c r="AC312" s="1455"/>
      <c r="AD312" s="1455"/>
      <c r="AE312" s="1455"/>
      <c r="AF312" s="1455"/>
      <c r="AG312" s="1455"/>
      <c r="AH312" s="1455"/>
      <c r="AI312" s="1455"/>
      <c r="AJ312" s="1455"/>
      <c r="AK312" s="1455"/>
    </row>
    <row r="313" spans="2:37" ht="13" customHeight="1">
      <c r="B313" s="3" t="s">
        <v>472</v>
      </c>
      <c r="C313" s="3"/>
      <c r="D313" s="3"/>
      <c r="E313" s="3"/>
      <c r="F313" s="3"/>
      <c r="H313" s="1455" t="s">
        <v>2695</v>
      </c>
      <c r="I313" s="1455"/>
      <c r="J313" s="1455"/>
      <c r="K313" s="1455"/>
      <c r="L313" s="1455"/>
      <c r="M313" s="1455"/>
      <c r="N313" s="1455"/>
      <c r="O313" s="1455"/>
      <c r="P313" s="1455"/>
      <c r="Q313" s="1455"/>
      <c r="R313" s="1455"/>
      <c r="S313" s="3"/>
      <c r="T313" s="3" t="s">
        <v>75</v>
      </c>
      <c r="V313" s="3"/>
      <c r="W313" s="3"/>
      <c r="X313" s="3"/>
      <c r="Y313" s="3"/>
      <c r="AA313" s="1455" t="s">
        <v>2626</v>
      </c>
      <c r="AB313" s="1455"/>
      <c r="AC313" s="1455"/>
      <c r="AD313" s="1455"/>
      <c r="AE313" s="1455"/>
      <c r="AF313" s="1455"/>
      <c r="AG313" s="1455"/>
      <c r="AH313" s="1455"/>
      <c r="AI313" s="1455"/>
      <c r="AJ313" s="1455"/>
      <c r="AK313" s="1455"/>
    </row>
    <row r="314" spans="2:37" ht="13" customHeight="1">
      <c r="B314" s="3" t="s">
        <v>87</v>
      </c>
      <c r="C314" s="3"/>
      <c r="D314" s="3"/>
      <c r="E314" s="3"/>
      <c r="F314" s="3"/>
      <c r="H314" s="1455" t="s">
        <v>2696</v>
      </c>
      <c r="I314" s="1455"/>
      <c r="J314" s="1455"/>
      <c r="K314" s="1455"/>
      <c r="L314" s="1455"/>
      <c r="M314" s="1455"/>
      <c r="N314" s="1455"/>
      <c r="O314" s="1455"/>
      <c r="P314" s="1455"/>
      <c r="Q314" s="1455"/>
      <c r="R314" s="1455"/>
      <c r="S314" s="3"/>
      <c r="T314" s="3" t="s">
        <v>87</v>
      </c>
      <c r="V314" s="3"/>
      <c r="W314" s="3"/>
      <c r="X314" s="3"/>
      <c r="Y314" s="3"/>
      <c r="AA314" s="1455" t="s">
        <v>2690</v>
      </c>
      <c r="AB314" s="1455"/>
      <c r="AC314" s="1455"/>
      <c r="AD314" s="1455"/>
      <c r="AE314" s="1455"/>
      <c r="AF314" s="1455"/>
      <c r="AG314" s="1455"/>
      <c r="AH314" s="1455"/>
      <c r="AI314" s="1455"/>
      <c r="AJ314" s="1455"/>
      <c r="AK314" s="1455"/>
    </row>
    <row r="315" spans="2:37" ht="13" customHeight="1">
      <c r="B315" s="3" t="s">
        <v>88</v>
      </c>
      <c r="C315" s="3"/>
      <c r="D315" s="3"/>
      <c r="E315" s="3"/>
      <c r="F315" s="3"/>
      <c r="G315" s="3"/>
      <c r="H315" s="1535" t="s">
        <v>2697</v>
      </c>
      <c r="I315" s="1536"/>
      <c r="J315" s="1536"/>
      <c r="K315" s="1536"/>
      <c r="L315" s="1536"/>
      <c r="M315" s="1536"/>
      <c r="N315" s="4" t="s">
        <v>206</v>
      </c>
      <c r="O315" s="4"/>
      <c r="P315" s="1509"/>
      <c r="Q315" s="1509"/>
      <c r="R315" s="1509"/>
      <c r="S315" s="3"/>
      <c r="T315" s="3" t="s">
        <v>88</v>
      </c>
      <c r="V315" s="3"/>
      <c r="W315" s="3"/>
      <c r="X315" s="3"/>
      <c r="Y315" s="3"/>
      <c r="AA315" s="1535" t="s">
        <v>2691</v>
      </c>
      <c r="AB315" s="1536"/>
      <c r="AC315" s="1536"/>
      <c r="AD315" s="1536"/>
      <c r="AE315" s="1536"/>
      <c r="AF315" s="1536"/>
      <c r="AG315" s="4" t="s">
        <v>206</v>
      </c>
      <c r="AH315" s="4"/>
      <c r="AI315" s="1509"/>
      <c r="AJ315" s="1509"/>
      <c r="AK315" s="1509"/>
    </row>
    <row r="316" spans="2:37" ht="13" customHeight="1">
      <c r="B316" s="3" t="s">
        <v>89</v>
      </c>
      <c r="C316" s="3"/>
      <c r="D316" s="3"/>
      <c r="E316" s="3"/>
      <c r="F316" s="3"/>
      <c r="G316" s="3"/>
      <c r="H316" s="1501"/>
      <c r="I316" s="1501"/>
      <c r="J316" s="1501"/>
      <c r="K316" s="1501"/>
      <c r="L316" s="1501"/>
      <c r="M316" s="1501"/>
      <c r="N316" s="4"/>
      <c r="O316" s="4"/>
      <c r="P316" s="35"/>
      <c r="Q316" s="35"/>
      <c r="R316" s="35"/>
      <c r="S316" s="3"/>
      <c r="T316" s="3" t="s">
        <v>89</v>
      </c>
      <c r="V316" s="3"/>
      <c r="W316" s="3"/>
      <c r="X316" s="3"/>
      <c r="Y316" s="3"/>
      <c r="AA316" s="1501"/>
      <c r="AB316" s="1501"/>
      <c r="AC316" s="1501"/>
      <c r="AD316" s="1501"/>
      <c r="AE316" s="1501"/>
      <c r="AF316" s="1501"/>
      <c r="AG316" s="4"/>
      <c r="AH316" s="4"/>
      <c r="AI316" s="35"/>
      <c r="AJ316" s="35"/>
      <c r="AK316" s="35"/>
    </row>
    <row r="317" spans="2:37" ht="13" customHeight="1">
      <c r="B317" s="3" t="s">
        <v>76</v>
      </c>
      <c r="C317" s="3"/>
      <c r="D317" s="3"/>
      <c r="E317" s="3"/>
      <c r="F317" s="3"/>
      <c r="G317" s="3"/>
      <c r="H317" s="1455" t="s">
        <v>2698</v>
      </c>
      <c r="I317" s="1455"/>
      <c r="J317" s="1455"/>
      <c r="K317" s="1455"/>
      <c r="L317" s="1455"/>
      <c r="M317" s="1455"/>
      <c r="N317" s="1487"/>
      <c r="O317" s="1487"/>
      <c r="P317" s="1487"/>
      <c r="Q317" s="1487"/>
      <c r="R317" s="1487"/>
      <c r="S317" s="3"/>
      <c r="T317" s="3" t="s">
        <v>76</v>
      </c>
      <c r="V317" s="3"/>
      <c r="W317" s="3"/>
      <c r="X317" s="3"/>
      <c r="Y317" s="3"/>
      <c r="AA317" s="1455" t="s">
        <v>2692</v>
      </c>
      <c r="AB317" s="1455"/>
      <c r="AC317" s="1455"/>
      <c r="AD317" s="1455"/>
      <c r="AE317" s="1455"/>
      <c r="AF317" s="1455"/>
      <c r="AG317" s="1487"/>
      <c r="AH317" s="1487"/>
      <c r="AI317" s="1487"/>
      <c r="AJ317" s="1487"/>
      <c r="AK317" s="1487"/>
    </row>
    <row r="318" spans="2:37" ht="13" customHeight="1"/>
    <row r="319" spans="2:37" ht="13" customHeight="1">
      <c r="B319" s="4" t="s">
        <v>908</v>
      </c>
      <c r="C319" s="3"/>
      <c r="D319" s="3"/>
      <c r="E319" s="3"/>
      <c r="F319" s="3"/>
      <c r="H319" s="1487" t="s">
        <v>2621</v>
      </c>
      <c r="I319" s="1487"/>
      <c r="J319" s="1487"/>
      <c r="K319" s="1487"/>
      <c r="L319" s="1487"/>
      <c r="M319" s="1487"/>
      <c r="N319" s="1487"/>
      <c r="O319" s="1487"/>
      <c r="P319" s="1487"/>
      <c r="Q319" s="1487"/>
      <c r="R319" s="1487"/>
      <c r="T319" s="3" t="s">
        <v>366</v>
      </c>
      <c r="V319" s="3"/>
      <c r="W319" s="3"/>
      <c r="X319" s="3"/>
      <c r="Y319" s="3"/>
      <c r="AA319" s="1487" t="s">
        <v>2631</v>
      </c>
      <c r="AB319" s="1487"/>
      <c r="AC319" s="1487"/>
      <c r="AD319" s="1487"/>
      <c r="AE319" s="1487"/>
      <c r="AF319" s="1487"/>
      <c r="AG319" s="1487"/>
      <c r="AH319" s="1487"/>
      <c r="AI319" s="1487"/>
      <c r="AJ319" s="1487"/>
      <c r="AK319" s="1487"/>
    </row>
    <row r="320" spans="2:37" ht="13" customHeight="1">
      <c r="B320" s="3" t="s">
        <v>471</v>
      </c>
      <c r="C320" s="3"/>
      <c r="D320" s="3"/>
      <c r="E320" s="3"/>
      <c r="F320" s="3"/>
      <c r="H320" s="1455" t="s">
        <v>2622</v>
      </c>
      <c r="I320" s="1455"/>
      <c r="J320" s="1455"/>
      <c r="K320" s="1455"/>
      <c r="L320" s="1455"/>
      <c r="M320" s="1455"/>
      <c r="N320" s="1455"/>
      <c r="O320" s="1455"/>
      <c r="P320" s="1455"/>
      <c r="Q320" s="1455"/>
      <c r="R320" s="1455"/>
      <c r="T320" s="3" t="s">
        <v>471</v>
      </c>
      <c r="V320" s="3"/>
      <c r="W320" s="3"/>
      <c r="X320" s="3"/>
      <c r="Y320" s="3"/>
      <c r="AA320" s="1455" t="s">
        <v>2632</v>
      </c>
      <c r="AB320" s="1455"/>
      <c r="AC320" s="1455"/>
      <c r="AD320" s="1455"/>
      <c r="AE320" s="1455"/>
      <c r="AF320" s="1455"/>
      <c r="AG320" s="1455"/>
      <c r="AH320" s="1455"/>
      <c r="AI320" s="1455"/>
      <c r="AJ320" s="1455"/>
      <c r="AK320" s="1455"/>
    </row>
    <row r="321" spans="2:37" ht="13" customHeight="1">
      <c r="B321" s="3" t="s">
        <v>472</v>
      </c>
      <c r="C321" s="3"/>
      <c r="D321" s="3"/>
      <c r="E321" s="3"/>
      <c r="F321" s="3"/>
      <c r="H321" s="1455" t="s">
        <v>2628</v>
      </c>
      <c r="I321" s="1455"/>
      <c r="J321" s="1455"/>
      <c r="K321" s="1455"/>
      <c r="L321" s="1455"/>
      <c r="M321" s="1455"/>
      <c r="N321" s="1455"/>
      <c r="O321" s="1455"/>
      <c r="P321" s="1455"/>
      <c r="Q321" s="1455"/>
      <c r="R321" s="1455"/>
      <c r="T321" s="3" t="s">
        <v>75</v>
      </c>
      <c r="V321" s="3"/>
      <c r="W321" s="3"/>
      <c r="X321" s="3"/>
      <c r="Y321" s="3"/>
      <c r="AA321" s="1455" t="s">
        <v>2633</v>
      </c>
      <c r="AB321" s="1455"/>
      <c r="AC321" s="1455"/>
      <c r="AD321" s="1455"/>
      <c r="AE321" s="1455"/>
      <c r="AF321" s="1455"/>
      <c r="AG321" s="1455"/>
      <c r="AH321" s="1455"/>
      <c r="AI321" s="1455"/>
      <c r="AJ321" s="1455"/>
      <c r="AK321" s="1455"/>
    </row>
    <row r="322" spans="2:37" ht="13" customHeight="1">
      <c r="B322" s="3" t="s">
        <v>87</v>
      </c>
      <c r="C322" s="3"/>
      <c r="D322" s="3"/>
      <c r="E322" s="3"/>
      <c r="F322" s="3"/>
      <c r="H322" s="1455" t="s">
        <v>2623</v>
      </c>
      <c r="I322" s="1455"/>
      <c r="J322" s="1455"/>
      <c r="K322" s="1455"/>
      <c r="L322" s="1455"/>
      <c r="M322" s="1455"/>
      <c r="N322" s="1455"/>
      <c r="O322" s="1455"/>
      <c r="P322" s="1455"/>
      <c r="Q322" s="1455"/>
      <c r="R322" s="1455"/>
      <c r="T322" s="3" t="s">
        <v>87</v>
      </c>
      <c r="V322" s="3"/>
      <c r="W322" s="3"/>
      <c r="X322" s="3"/>
      <c r="Y322" s="3"/>
      <c r="AA322" s="1455" t="s">
        <v>2641</v>
      </c>
      <c r="AB322" s="1455"/>
      <c r="AC322" s="1455"/>
      <c r="AD322" s="1455"/>
      <c r="AE322" s="1455"/>
      <c r="AF322" s="1455"/>
      <c r="AG322" s="1455"/>
      <c r="AH322" s="1455"/>
      <c r="AI322" s="1455"/>
      <c r="AJ322" s="1455"/>
      <c r="AK322" s="1455"/>
    </row>
    <row r="323" spans="2:37" ht="13" customHeight="1">
      <c r="B323" s="3" t="s">
        <v>88</v>
      </c>
      <c r="C323" s="3"/>
      <c r="D323" s="3"/>
      <c r="E323" s="3"/>
      <c r="F323" s="3"/>
      <c r="G323" s="3"/>
      <c r="H323" s="1535" t="s">
        <v>2627</v>
      </c>
      <c r="I323" s="1536"/>
      <c r="J323" s="1536"/>
      <c r="K323" s="1536"/>
      <c r="L323" s="1536"/>
      <c r="M323" s="1536"/>
      <c r="N323" s="4" t="s">
        <v>206</v>
      </c>
      <c r="O323" s="4"/>
      <c r="P323" s="1509"/>
      <c r="Q323" s="1509"/>
      <c r="R323" s="1509"/>
      <c r="S323" s="3"/>
      <c r="T323" s="3" t="s">
        <v>88</v>
      </c>
      <c r="V323" s="3"/>
      <c r="W323" s="3"/>
      <c r="X323" s="3"/>
      <c r="Y323" s="3"/>
      <c r="AA323" s="1535" t="s">
        <v>2635</v>
      </c>
      <c r="AB323" s="1536"/>
      <c r="AC323" s="1536"/>
      <c r="AD323" s="1536"/>
      <c r="AE323" s="1536"/>
      <c r="AF323" s="1536"/>
      <c r="AG323" s="4" t="s">
        <v>206</v>
      </c>
      <c r="AH323" s="4"/>
      <c r="AI323" s="1509"/>
      <c r="AJ323" s="1509"/>
      <c r="AK323" s="1509"/>
    </row>
    <row r="324" spans="2:37" ht="13" customHeight="1">
      <c r="B324" s="3" t="s">
        <v>89</v>
      </c>
      <c r="C324" s="3"/>
      <c r="D324" s="3"/>
      <c r="E324" s="3"/>
      <c r="F324" s="3"/>
      <c r="G324" s="3"/>
      <c r="H324" s="1501"/>
      <c r="I324" s="1501"/>
      <c r="J324" s="1501"/>
      <c r="K324" s="1501"/>
      <c r="L324" s="1501"/>
      <c r="M324" s="1501"/>
      <c r="N324" s="4"/>
      <c r="O324" s="4"/>
      <c r="P324" s="35"/>
      <c r="Q324" s="35"/>
      <c r="R324" s="35"/>
      <c r="S324" s="3"/>
      <c r="T324" s="3" t="s">
        <v>89</v>
      </c>
      <c r="V324" s="3"/>
      <c r="W324" s="3"/>
      <c r="X324" s="3"/>
      <c r="Y324" s="3"/>
      <c r="AA324" s="1501"/>
      <c r="AB324" s="1501"/>
      <c r="AC324" s="1501"/>
      <c r="AD324" s="1501"/>
      <c r="AE324" s="1501"/>
      <c r="AF324" s="1501"/>
      <c r="AG324" s="4"/>
      <c r="AH324" s="4"/>
      <c r="AI324" s="35"/>
      <c r="AJ324" s="35"/>
      <c r="AK324" s="35"/>
    </row>
    <row r="325" spans="2:37" ht="13" customHeight="1">
      <c r="B325" s="3" t="s">
        <v>76</v>
      </c>
      <c r="C325" s="3"/>
      <c r="D325" s="3"/>
      <c r="E325" s="3"/>
      <c r="F325" s="3"/>
      <c r="G325" s="3"/>
      <c r="H325" s="1455"/>
      <c r="I325" s="1455"/>
      <c r="J325" s="1455"/>
      <c r="K325" s="1455"/>
      <c r="L325" s="1455"/>
      <c r="M325" s="1455"/>
      <c r="N325" s="1487"/>
      <c r="O325" s="1487"/>
      <c r="P325" s="1487"/>
      <c r="Q325" s="1487"/>
      <c r="R325" s="1487"/>
      <c r="S325" s="3"/>
      <c r="T325" s="3" t="s">
        <v>76</v>
      </c>
      <c r="V325" s="3"/>
      <c r="W325" s="3"/>
      <c r="X325" s="3"/>
      <c r="Y325" s="3"/>
      <c r="AA325" s="1455"/>
      <c r="AB325" s="1455"/>
      <c r="AC325" s="1455"/>
      <c r="AD325" s="1455"/>
      <c r="AE325" s="1455"/>
      <c r="AF325" s="1455"/>
      <c r="AG325" s="1487"/>
      <c r="AH325" s="1487"/>
      <c r="AI325" s="1487"/>
      <c r="AJ325" s="1487"/>
      <c r="AK325" s="148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87" t="s">
        <v>2631</v>
      </c>
      <c r="I327" s="1487"/>
      <c r="J327" s="1487"/>
      <c r="K327" s="1487"/>
      <c r="L327" s="1487"/>
      <c r="M327" s="1487"/>
      <c r="N327" s="1487"/>
      <c r="O327" s="1487"/>
      <c r="P327" s="1487"/>
      <c r="Q327" s="1487"/>
      <c r="R327" s="1487"/>
      <c r="T327" s="3" t="s">
        <v>368</v>
      </c>
      <c r="V327" s="3"/>
      <c r="W327" s="3"/>
      <c r="X327" s="3"/>
      <c r="Y327" s="3"/>
      <c r="AA327" s="1487" t="s">
        <v>591</v>
      </c>
      <c r="AB327" s="1487"/>
      <c r="AC327" s="1487"/>
      <c r="AD327" s="1487"/>
      <c r="AE327" s="1487"/>
      <c r="AF327" s="1487"/>
      <c r="AG327" s="1487"/>
      <c r="AH327" s="1487"/>
      <c r="AI327" s="1487"/>
      <c r="AJ327" s="1487"/>
      <c r="AK327" s="1487"/>
    </row>
    <row r="328" spans="2:37" ht="13" customHeight="1">
      <c r="B328" s="3" t="s">
        <v>471</v>
      </c>
      <c r="C328" s="3"/>
      <c r="D328" s="3"/>
      <c r="E328" s="3"/>
      <c r="F328" s="3"/>
      <c r="H328" s="1455" t="s">
        <v>2632</v>
      </c>
      <c r="I328" s="1455"/>
      <c r="J328" s="1455"/>
      <c r="K328" s="1455"/>
      <c r="L328" s="1455"/>
      <c r="M328" s="1455"/>
      <c r="N328" s="1455"/>
      <c r="O328" s="1455"/>
      <c r="P328" s="1455"/>
      <c r="Q328" s="1455"/>
      <c r="R328" s="1455"/>
      <c r="T328" s="3" t="s">
        <v>471</v>
      </c>
      <c r="V328" s="3"/>
      <c r="W328" s="3"/>
      <c r="X328" s="3"/>
      <c r="Y328" s="3"/>
      <c r="AA328" s="1455"/>
      <c r="AB328" s="1455"/>
      <c r="AC328" s="1455"/>
      <c r="AD328" s="1455"/>
      <c r="AE328" s="1455"/>
      <c r="AF328" s="1455"/>
      <c r="AG328" s="1455"/>
      <c r="AH328" s="1455"/>
      <c r="AI328" s="1455"/>
      <c r="AJ328" s="1455"/>
      <c r="AK328" s="1455"/>
    </row>
    <row r="329" spans="2:37" ht="13" customHeight="1">
      <c r="B329" s="3" t="s">
        <v>472</v>
      </c>
      <c r="C329" s="3"/>
      <c r="D329" s="3"/>
      <c r="E329" s="3"/>
      <c r="F329" s="3"/>
      <c r="H329" s="1455" t="s">
        <v>2633</v>
      </c>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37" ht="13" customHeight="1">
      <c r="B330" s="3" t="s">
        <v>87</v>
      </c>
      <c r="C330" s="3"/>
      <c r="D330" s="3"/>
      <c r="E330" s="3"/>
      <c r="F330" s="3"/>
      <c r="H330" s="1455" t="s">
        <v>2634</v>
      </c>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37" ht="13" customHeight="1">
      <c r="B331" s="3" t="s">
        <v>88</v>
      </c>
      <c r="C331" s="3"/>
      <c r="D331" s="3"/>
      <c r="E331" s="3"/>
      <c r="F331" s="3"/>
      <c r="G331" s="3"/>
      <c r="H331" s="1535" t="s">
        <v>2635</v>
      </c>
      <c r="I331" s="1536"/>
      <c r="J331" s="1536"/>
      <c r="K331" s="1536"/>
      <c r="L331" s="1536"/>
      <c r="M331" s="1536"/>
      <c r="N331" s="4" t="s">
        <v>206</v>
      </c>
      <c r="O331" s="4"/>
      <c r="P331" s="1509"/>
      <c r="Q331" s="1509"/>
      <c r="R331" s="1509"/>
      <c r="S331" s="3"/>
      <c r="T331" s="3" t="s">
        <v>88</v>
      </c>
      <c r="V331" s="3"/>
      <c r="W331" s="3"/>
      <c r="X331" s="3"/>
      <c r="Y331" s="3"/>
      <c r="AA331" s="1536"/>
      <c r="AB331" s="1536"/>
      <c r="AC331" s="1536"/>
      <c r="AD331" s="1536"/>
      <c r="AE331" s="1536"/>
      <c r="AF331" s="1536"/>
      <c r="AG331" s="4" t="s">
        <v>206</v>
      </c>
      <c r="AH331" s="4"/>
      <c r="AI331" s="1509"/>
      <c r="AJ331" s="1509"/>
      <c r="AK331" s="1509"/>
    </row>
    <row r="332" spans="2:37" ht="13" customHeight="1">
      <c r="B332" s="3" t="s">
        <v>89</v>
      </c>
      <c r="C332" s="3"/>
      <c r="D332" s="3"/>
      <c r="E332" s="3"/>
      <c r="F332" s="3"/>
      <c r="G332" s="3"/>
      <c r="H332" s="1501"/>
      <c r="I332" s="1501"/>
      <c r="J332" s="1501"/>
      <c r="K332" s="1501"/>
      <c r="L332" s="1501"/>
      <c r="M332" s="1501"/>
      <c r="N332" s="4"/>
      <c r="O332" s="4"/>
      <c r="P332" s="35"/>
      <c r="Q332" s="35"/>
      <c r="R332" s="35"/>
      <c r="S332" s="3"/>
      <c r="T332" s="3" t="s">
        <v>89</v>
      </c>
      <c r="V332" s="3"/>
      <c r="W332" s="3"/>
      <c r="X332" s="3"/>
      <c r="Y332" s="3"/>
      <c r="AA332" s="1501"/>
      <c r="AB332" s="1501"/>
      <c r="AC332" s="1501"/>
      <c r="AD332" s="1501"/>
      <c r="AE332" s="1501"/>
      <c r="AF332" s="1501"/>
      <c r="AG332" s="4"/>
      <c r="AH332" s="4"/>
      <c r="AI332" s="35"/>
      <c r="AJ332" s="35"/>
      <c r="AK332" s="35"/>
    </row>
    <row r="333" spans="2:37" ht="13" customHeight="1">
      <c r="B333" s="3" t="s">
        <v>76</v>
      </c>
      <c r="C333" s="3"/>
      <c r="D333" s="3"/>
      <c r="E333" s="3"/>
      <c r="F333" s="3"/>
      <c r="G333" s="3"/>
      <c r="H333" s="1455"/>
      <c r="I333" s="1455"/>
      <c r="J333" s="1455"/>
      <c r="K333" s="1455"/>
      <c r="L333" s="1455"/>
      <c r="M333" s="1455"/>
      <c r="N333" s="1487"/>
      <c r="O333" s="1487"/>
      <c r="P333" s="1487"/>
      <c r="Q333" s="1487"/>
      <c r="R333" s="1487"/>
      <c r="S333" s="3"/>
      <c r="T333" s="3" t="s">
        <v>76</v>
      </c>
      <c r="V333" s="3"/>
      <c r="W333" s="3"/>
      <c r="X333" s="3"/>
      <c r="Y333" s="3"/>
      <c r="AA333" s="1455"/>
      <c r="AB333" s="1455"/>
      <c r="AC333" s="1455"/>
      <c r="AD333" s="1455"/>
      <c r="AE333" s="1455"/>
      <c r="AF333" s="1455"/>
      <c r="AG333" s="1487"/>
      <c r="AH333" s="1487"/>
      <c r="AI333" s="1487"/>
      <c r="AJ333" s="1487"/>
      <c r="AK333" s="148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87" t="s">
        <v>2699</v>
      </c>
      <c r="I335" s="1487"/>
      <c r="J335" s="1487"/>
      <c r="K335" s="1487"/>
      <c r="L335" s="1487"/>
      <c r="M335" s="1487"/>
      <c r="N335" s="1487"/>
      <c r="O335" s="1487"/>
      <c r="P335" s="1487"/>
      <c r="Q335" s="1487"/>
      <c r="R335" s="1487"/>
      <c r="T335" s="204" t="s">
        <v>886</v>
      </c>
      <c r="V335" s="3"/>
      <c r="W335" s="3"/>
      <c r="X335" s="3"/>
      <c r="Y335" s="3"/>
      <c r="AA335" s="1487" t="s">
        <v>2642</v>
      </c>
      <c r="AB335" s="1487"/>
      <c r="AC335" s="1487"/>
      <c r="AD335" s="1487"/>
      <c r="AE335" s="1487"/>
      <c r="AF335" s="1487"/>
      <c r="AG335" s="1487"/>
      <c r="AH335" s="1487"/>
      <c r="AI335" s="1487"/>
      <c r="AJ335" s="1487"/>
      <c r="AK335" s="1487"/>
    </row>
    <row r="336" spans="2:37" ht="13" customHeight="1">
      <c r="B336" s="3" t="s">
        <v>471</v>
      </c>
      <c r="C336" s="3"/>
      <c r="D336" s="3"/>
      <c r="E336" s="3"/>
      <c r="F336" s="3"/>
      <c r="H336" s="1455" t="s">
        <v>2700</v>
      </c>
      <c r="I336" s="1455"/>
      <c r="J336" s="1455"/>
      <c r="K336" s="1455"/>
      <c r="L336" s="1455"/>
      <c r="M336" s="1455"/>
      <c r="N336" s="1455"/>
      <c r="O336" s="1455"/>
      <c r="P336" s="1455"/>
      <c r="Q336" s="1455"/>
      <c r="R336" s="1455"/>
      <c r="T336" s="3" t="s">
        <v>471</v>
      </c>
      <c r="V336" s="3"/>
      <c r="W336" s="3"/>
      <c r="X336" s="3"/>
      <c r="Y336" s="3"/>
      <c r="AA336" s="1455" t="s">
        <v>2643</v>
      </c>
      <c r="AB336" s="1455"/>
      <c r="AC336" s="1455"/>
      <c r="AD336" s="1455"/>
      <c r="AE336" s="1455"/>
      <c r="AF336" s="1455"/>
      <c r="AG336" s="1455"/>
      <c r="AH336" s="1455"/>
      <c r="AI336" s="1455"/>
      <c r="AJ336" s="1455"/>
      <c r="AK336" s="1455"/>
    </row>
    <row r="337" spans="1:66" ht="13" customHeight="1">
      <c r="B337" s="3" t="s">
        <v>75</v>
      </c>
      <c r="C337" s="3"/>
      <c r="D337" s="3"/>
      <c r="E337" s="3"/>
      <c r="F337" s="3"/>
      <c r="H337" s="1455" t="s">
        <v>2701</v>
      </c>
      <c r="I337" s="1455"/>
      <c r="J337" s="1455"/>
      <c r="K337" s="1455"/>
      <c r="L337" s="1455"/>
      <c r="M337" s="1455"/>
      <c r="N337" s="1455"/>
      <c r="O337" s="1455"/>
      <c r="P337" s="1455"/>
      <c r="Q337" s="1455"/>
      <c r="R337" s="1455"/>
      <c r="T337" s="3" t="s">
        <v>75</v>
      </c>
      <c r="V337" s="3"/>
      <c r="W337" s="3"/>
      <c r="X337" s="3"/>
      <c r="Y337" s="3"/>
      <c r="AA337" s="1455" t="s">
        <v>2644</v>
      </c>
      <c r="AB337" s="1455"/>
      <c r="AC337" s="1455"/>
      <c r="AD337" s="1455"/>
      <c r="AE337" s="1455"/>
      <c r="AF337" s="1455"/>
      <c r="AG337" s="1455"/>
      <c r="AH337" s="1455"/>
      <c r="AI337" s="1455"/>
      <c r="AJ337" s="1455"/>
      <c r="AK337" s="1455"/>
    </row>
    <row r="338" spans="1:66" ht="13" customHeight="1">
      <c r="B338" s="3" t="s">
        <v>87</v>
      </c>
      <c r="C338" s="3"/>
      <c r="D338" s="3"/>
      <c r="E338" s="3"/>
      <c r="F338" s="3"/>
      <c r="G338" s="3"/>
      <c r="H338" s="1455" t="s">
        <v>2702</v>
      </c>
      <c r="I338" s="1455"/>
      <c r="J338" s="1455"/>
      <c r="K338" s="1455"/>
      <c r="L338" s="1455"/>
      <c r="M338" s="1455"/>
      <c r="N338" s="1455"/>
      <c r="O338" s="1455"/>
      <c r="P338" s="1455"/>
      <c r="Q338" s="1455"/>
      <c r="R338" s="1455"/>
      <c r="T338" s="3" t="s">
        <v>87</v>
      </c>
      <c r="V338" s="3"/>
      <c r="W338" s="3"/>
      <c r="X338" s="3"/>
      <c r="Y338" s="3"/>
      <c r="AA338" s="1455" t="s">
        <v>2645</v>
      </c>
      <c r="AB338" s="1455"/>
      <c r="AC338" s="1455"/>
      <c r="AD338" s="1455"/>
      <c r="AE338" s="1455"/>
      <c r="AF338" s="1455"/>
      <c r="AG338" s="1455"/>
      <c r="AH338" s="1455"/>
      <c r="AI338" s="1455"/>
      <c r="AJ338" s="1455"/>
      <c r="AK338" s="1455"/>
    </row>
    <row r="339" spans="1:66" ht="13" customHeight="1">
      <c r="B339" s="3" t="s">
        <v>88</v>
      </c>
      <c r="C339" s="3"/>
      <c r="D339" s="3"/>
      <c r="E339" s="3"/>
      <c r="F339" s="3"/>
      <c r="G339" s="3"/>
      <c r="H339" s="1535" t="s">
        <v>2703</v>
      </c>
      <c r="I339" s="1536"/>
      <c r="J339" s="1536"/>
      <c r="K339" s="1536"/>
      <c r="L339" s="1536"/>
      <c r="M339" s="1536"/>
      <c r="N339" s="4" t="s">
        <v>206</v>
      </c>
      <c r="O339" s="4"/>
      <c r="P339" s="1509"/>
      <c r="Q339" s="1509"/>
      <c r="R339" s="1509"/>
      <c r="S339" s="3"/>
      <c r="T339" s="3" t="s">
        <v>88</v>
      </c>
      <c r="V339" s="3"/>
      <c r="W339" s="3"/>
      <c r="X339" s="3"/>
      <c r="Y339" s="3"/>
      <c r="AA339" s="1535" t="s">
        <v>2646</v>
      </c>
      <c r="AB339" s="1536"/>
      <c r="AC339" s="1536"/>
      <c r="AD339" s="1536"/>
      <c r="AE339" s="1536"/>
      <c r="AF339" s="1536"/>
      <c r="AG339" s="4" t="s">
        <v>206</v>
      </c>
      <c r="AH339" s="4"/>
      <c r="AI339" s="1509"/>
      <c r="AJ339" s="1509"/>
      <c r="AK339" s="1509"/>
    </row>
    <row r="340" spans="1:66" ht="13" customHeight="1">
      <c r="B340" s="3" t="s">
        <v>89</v>
      </c>
      <c r="C340" s="3"/>
      <c r="D340" s="3"/>
      <c r="E340" s="3"/>
      <c r="F340" s="3"/>
      <c r="G340" s="3"/>
      <c r="H340" s="1501"/>
      <c r="I340" s="1501"/>
      <c r="J340" s="1501"/>
      <c r="K340" s="1501"/>
      <c r="L340" s="1501"/>
      <c r="M340" s="1501"/>
      <c r="N340" s="4"/>
      <c r="O340" s="4"/>
      <c r="P340" s="35"/>
      <c r="Q340" s="35"/>
      <c r="R340" s="35"/>
      <c r="S340" s="3"/>
      <c r="T340" s="3" t="s">
        <v>89</v>
      </c>
      <c r="V340" s="3"/>
      <c r="W340" s="3"/>
      <c r="X340" s="3"/>
      <c r="Y340" s="3"/>
      <c r="AA340" s="1522" t="s">
        <v>2647</v>
      </c>
      <c r="AB340" s="1501"/>
      <c r="AC340" s="1501"/>
      <c r="AD340" s="1501"/>
      <c r="AE340" s="1501"/>
      <c r="AF340" s="1501"/>
      <c r="AG340" s="4"/>
      <c r="AH340" s="4"/>
      <c r="AI340" s="35"/>
      <c r="AJ340" s="35"/>
      <c r="AK340" s="35"/>
    </row>
    <row r="341" spans="1:66" ht="13" customHeight="1">
      <c r="B341" s="3" t="s">
        <v>76</v>
      </c>
      <c r="C341" s="3"/>
      <c r="D341" s="3"/>
      <c r="E341" s="3"/>
      <c r="F341" s="3"/>
      <c r="G341" s="3"/>
      <c r="H341" s="1455" t="s">
        <v>2704</v>
      </c>
      <c r="I341" s="1455"/>
      <c r="J341" s="1455"/>
      <c r="K341" s="1455"/>
      <c r="L341" s="1455"/>
      <c r="M341" s="1455"/>
      <c r="N341" s="1487"/>
      <c r="O341" s="1487"/>
      <c r="P341" s="1487"/>
      <c r="Q341" s="1487"/>
      <c r="R341" s="1487"/>
      <c r="S341" s="3"/>
      <c r="T341" s="3" t="s">
        <v>76</v>
      </c>
      <c r="V341" s="3"/>
      <c r="W341" s="3"/>
      <c r="X341" s="3"/>
      <c r="Y341" s="3"/>
      <c r="AA341" s="1455"/>
      <c r="AB341" s="1455"/>
      <c r="AC341" s="1455"/>
      <c r="AD341" s="1455"/>
      <c r="AE341" s="1455"/>
      <c r="AF341" s="1455"/>
      <c r="AG341" s="1487"/>
      <c r="AH341" s="1487"/>
      <c r="AI341" s="1487"/>
      <c r="AJ341" s="1487"/>
      <c r="AK341" s="148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87" t="s">
        <v>591</v>
      </c>
      <c r="Q343" s="1487"/>
      <c r="R343" s="1487"/>
      <c r="S343" s="1487"/>
      <c r="T343" s="1487"/>
      <c r="U343" s="1487"/>
      <c r="V343" s="1487"/>
      <c r="W343" s="1487"/>
      <c r="X343" s="1487"/>
      <c r="Y343" s="1487"/>
      <c r="Z343" s="1487"/>
      <c r="AA343" s="1487"/>
      <c r="AB343" s="1487"/>
      <c r="AC343" s="1487"/>
      <c r="AD343" s="1487"/>
      <c r="AE343" s="1487"/>
      <c r="BN343" t="s">
        <v>669</v>
      </c>
    </row>
    <row r="344" spans="1:66" ht="13" customHeight="1">
      <c r="B344" s="4"/>
      <c r="C344" s="4"/>
      <c r="D344" s="4"/>
      <c r="E344" s="4"/>
      <c r="F344" s="4"/>
      <c r="I344" s="4" t="s">
        <v>471</v>
      </c>
      <c r="P344" s="1455"/>
      <c r="Q344" s="1455"/>
      <c r="R344" s="1455"/>
      <c r="S344" s="1455"/>
      <c r="T344" s="1455"/>
      <c r="U344" s="1455"/>
      <c r="V344" s="1455"/>
      <c r="W344" s="1455"/>
      <c r="X344" s="1455"/>
      <c r="Y344" s="1455"/>
      <c r="Z344" s="1455"/>
      <c r="AA344" s="1455"/>
      <c r="AB344" s="1455"/>
      <c r="AC344" s="1455"/>
      <c r="AD344" s="1455"/>
      <c r="AE344" s="1455"/>
      <c r="BN344" t="s">
        <v>545</v>
      </c>
    </row>
    <row r="345" spans="1:66" ht="13"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3"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3" customHeight="1">
      <c r="B347" s="4"/>
      <c r="C347" s="4"/>
      <c r="D347" s="4"/>
      <c r="E347" s="4"/>
      <c r="F347" s="4"/>
      <c r="G347" s="4"/>
      <c r="H347" s="302"/>
      <c r="I347" s="4" t="s">
        <v>88</v>
      </c>
      <c r="P347" s="1501"/>
      <c r="Q347" s="1501"/>
      <c r="R347" s="1501"/>
      <c r="S347" s="1501"/>
      <c r="T347" s="1501"/>
      <c r="U347" s="1501"/>
      <c r="V347" s="1501"/>
      <c r="W347" s="1501"/>
      <c r="X347" s="1501"/>
      <c r="Y347" s="1501"/>
      <c r="Z347" s="1501"/>
      <c r="AA347" s="4" t="s">
        <v>206</v>
      </c>
      <c r="AB347" s="4"/>
      <c r="AC347" s="1486"/>
      <c r="AD347" s="1486"/>
      <c r="AE347" s="1486"/>
      <c r="AF347" s="302"/>
      <c r="AG347" s="4"/>
      <c r="AH347" s="4"/>
      <c r="AI347" s="4"/>
      <c r="AJ347" s="4"/>
      <c r="AK347" s="4"/>
    </row>
    <row r="348" spans="1:66" ht="13" customHeight="1">
      <c r="B348" s="4"/>
      <c r="C348" s="4"/>
      <c r="D348" s="4"/>
      <c r="E348" s="4"/>
      <c r="F348" s="4"/>
      <c r="G348" s="4"/>
      <c r="H348" s="302"/>
      <c r="I348" s="4" t="s">
        <v>89</v>
      </c>
      <c r="P348" s="1501"/>
      <c r="Q348" s="1501"/>
      <c r="R348" s="1501"/>
      <c r="S348" s="1501"/>
      <c r="T348" s="1501"/>
      <c r="U348" s="1501"/>
      <c r="V348" s="1501"/>
      <c r="W348" s="1501"/>
      <c r="X348" s="1501"/>
      <c r="Y348" s="1501"/>
      <c r="Z348" s="1501"/>
      <c r="AF348" s="302"/>
      <c r="AG348" s="4"/>
      <c r="AH348" s="4"/>
      <c r="AI348" s="35"/>
      <c r="AJ348" s="35"/>
      <c r="AK348" s="35"/>
    </row>
    <row r="349" spans="1:66" ht="13" customHeight="1">
      <c r="B349" s="4"/>
      <c r="C349" s="4"/>
      <c r="D349" s="4"/>
      <c r="E349" s="4"/>
      <c r="F349" s="4"/>
      <c r="G349" s="4"/>
      <c r="I349" s="4" t="s">
        <v>76</v>
      </c>
      <c r="P349" s="1487"/>
      <c r="Q349" s="1487"/>
      <c r="R349" s="1487"/>
      <c r="S349" s="1487"/>
      <c r="T349" s="1487"/>
      <c r="U349" s="1487"/>
      <c r="V349" s="1487"/>
      <c r="W349" s="1487"/>
      <c r="X349" s="1487"/>
      <c r="Y349" s="1487"/>
      <c r="Z349" s="1487"/>
      <c r="AA349" s="1487"/>
      <c r="AB349" s="1487"/>
      <c r="AC349" s="1487"/>
      <c r="AD349" s="1487"/>
      <c r="AE349" s="1487"/>
    </row>
    <row r="350" spans="1:66" ht="13" customHeight="1">
      <c r="T350" s="8"/>
      <c r="U350" s="8"/>
      <c r="V350" s="8"/>
      <c r="W350" s="8"/>
      <c r="X350" s="8"/>
      <c r="Y350" s="8"/>
      <c r="Z350" s="8"/>
      <c r="AU350" s="95"/>
      <c r="AV350" s="95"/>
      <c r="AW350" s="95"/>
      <c r="AX350" s="95"/>
      <c r="AY350" s="95"/>
    </row>
    <row r="351" spans="1:66" ht="13" customHeight="1">
      <c r="A351" s="1558" t="s">
        <v>542</v>
      </c>
      <c r="B351" s="1558"/>
      <c r="C351" s="1558"/>
      <c r="D351" s="1558"/>
      <c r="E351" s="1558"/>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558"/>
      <c r="AM351" s="1558"/>
      <c r="AN351" s="1558"/>
      <c r="AO351" s="1558"/>
      <c r="AP351" s="1558"/>
      <c r="AQ351" s="1558"/>
      <c r="AR351" s="1558"/>
      <c r="AS351" s="1558"/>
      <c r="AT351" s="1558"/>
      <c r="AU351" s="95"/>
      <c r="AV351" s="95"/>
      <c r="AW351" s="95"/>
      <c r="AX351" s="95"/>
      <c r="AY351" s="95"/>
    </row>
    <row r="352" spans="1:66" ht="13" customHeight="1">
      <c r="A352" s="1558"/>
      <c r="B352" s="1558"/>
      <c r="C352" s="1558"/>
      <c r="D352" s="1558"/>
      <c r="E352" s="1558"/>
      <c r="F352" s="1558"/>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558"/>
      <c r="AM352" s="1558"/>
      <c r="AN352" s="1558"/>
      <c r="AO352" s="1558"/>
      <c r="AP352" s="1558"/>
      <c r="AQ352" s="1558"/>
      <c r="AR352" s="1558"/>
      <c r="AS352" s="1558"/>
      <c r="AT352" s="155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476" t="s">
        <v>545</v>
      </c>
      <c r="N355" s="1476"/>
      <c r="P355" t="s">
        <v>1650</v>
      </c>
      <c r="AJ355" s="1476" t="s">
        <v>591</v>
      </c>
      <c r="AK355" s="1476"/>
    </row>
    <row r="356" spans="1:46" ht="13" customHeight="1">
      <c r="D356" s="3" t="s">
        <v>1639</v>
      </c>
      <c r="M356" s="1476" t="s">
        <v>545</v>
      </c>
      <c r="N356" s="1476"/>
      <c r="P356" s="3" t="s">
        <v>1719</v>
      </c>
      <c r="AJ356" s="1400"/>
      <c r="AK356" s="1400"/>
    </row>
    <row r="357" spans="1:46" ht="13" customHeight="1">
      <c r="D357" s="3" t="s">
        <v>704</v>
      </c>
      <c r="M357" s="1476" t="s">
        <v>591</v>
      </c>
      <c r="N357" s="1476"/>
      <c r="P357" t="s">
        <v>1649</v>
      </c>
      <c r="AJ357" s="1476" t="s">
        <v>591</v>
      </c>
      <c r="AK357" s="1476"/>
    </row>
    <row r="358" spans="1:46" ht="13" customHeight="1">
      <c r="D358" s="3" t="s">
        <v>705</v>
      </c>
      <c r="M358" s="1476" t="s">
        <v>591</v>
      </c>
      <c r="N358" s="1476"/>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76" t="s">
        <v>591</v>
      </c>
      <c r="O363" s="1476"/>
      <c r="P363" s="40"/>
      <c r="Q363" s="40"/>
      <c r="R363" s="40"/>
      <c r="S363" s="40"/>
      <c r="T363" s="40"/>
      <c r="U363" s="40"/>
      <c r="V363" s="40"/>
      <c r="W363" s="40"/>
      <c r="X363" s="40"/>
      <c r="Y363" s="40"/>
      <c r="Z363" s="40"/>
      <c r="AC363" s="40"/>
      <c r="AD363" s="40"/>
      <c r="AE363" s="40"/>
    </row>
    <row r="364" spans="1:46" ht="13" customHeight="1">
      <c r="E364" t="s">
        <v>370</v>
      </c>
      <c r="Y364" s="1476" t="s">
        <v>591</v>
      </c>
      <c r="Z364" s="1476"/>
    </row>
    <row r="365" spans="1:46" ht="13" customHeight="1">
      <c r="D365" s="4" t="s">
        <v>978</v>
      </c>
      <c r="Q365" s="1487"/>
      <c r="R365" s="1487"/>
      <c r="S365" s="1487"/>
      <c r="T365" s="1487"/>
      <c r="U365" s="1487"/>
      <c r="V365" s="1487"/>
      <c r="W365" s="1487"/>
      <c r="X365" s="1487"/>
      <c r="Y365" s="1487"/>
      <c r="Z365" s="1487"/>
      <c r="AA365" s="1487"/>
      <c r="AB365" s="1487"/>
      <c r="AC365" s="1487"/>
      <c r="AD365" s="1487"/>
      <c r="AE365" s="1487"/>
      <c r="AF365" s="1487"/>
      <c r="AG365" s="148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76" t="s">
        <v>591</v>
      </c>
      <c r="K367" s="1476"/>
      <c r="L367" s="40"/>
      <c r="M367" s="40"/>
      <c r="N367" s="40"/>
      <c r="O367" s="40"/>
      <c r="P367" s="40"/>
      <c r="Q367" s="40"/>
      <c r="R367" s="40"/>
      <c r="S367" s="40"/>
      <c r="T367" s="40"/>
      <c r="U367" s="40"/>
      <c r="V367" s="40"/>
      <c r="W367" s="40"/>
      <c r="X367" s="40"/>
      <c r="Y367" s="40"/>
      <c r="Z367" s="40"/>
      <c r="AC367" s="40"/>
      <c r="AD367" s="40"/>
      <c r="AE367" s="40"/>
    </row>
    <row r="368" spans="1:46" ht="13" customHeight="1">
      <c r="E368" s="1543" t="s">
        <v>706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3"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3" customHeight="1">
      <c r="E370" s="4" t="s">
        <v>448</v>
      </c>
      <c r="F370" s="4"/>
      <c r="G370" s="4"/>
      <c r="H370" s="4"/>
      <c r="I370" s="4"/>
      <c r="J370" s="4"/>
      <c r="K370" s="4"/>
      <c r="L370" s="4"/>
      <c r="N370" s="1410"/>
      <c r="O370" s="1410"/>
      <c r="P370" s="1410"/>
      <c r="Q370" s="1410"/>
      <c r="R370" s="4"/>
      <c r="U370" s="4" t="s">
        <v>449</v>
      </c>
      <c r="V370" s="4"/>
      <c r="W370" s="4"/>
      <c r="X370" s="4"/>
      <c r="Y370" s="4"/>
      <c r="Z370" s="4"/>
      <c r="AA370" s="4"/>
      <c r="AB370" s="4"/>
      <c r="AC370" s="1410"/>
      <c r="AD370" s="1410"/>
      <c r="AE370" s="1410"/>
      <c r="AF370" s="1410"/>
    </row>
    <row r="371" spans="1:34" ht="13" customHeight="1">
      <c r="E371" s="4" t="s">
        <v>450</v>
      </c>
      <c r="F371" s="4"/>
      <c r="G371" s="4"/>
      <c r="H371" s="4"/>
      <c r="I371" s="4"/>
      <c r="J371" s="4"/>
      <c r="K371" s="4"/>
      <c r="L371" s="4"/>
      <c r="N371" s="1410"/>
      <c r="O371" s="1410"/>
      <c r="P371" s="1410"/>
      <c r="Q371" s="1410"/>
      <c r="R371" s="4"/>
      <c r="U371" s="4" t="s">
        <v>0</v>
      </c>
      <c r="V371" s="4"/>
      <c r="W371" s="4"/>
      <c r="X371" s="4"/>
      <c r="Y371" s="4"/>
      <c r="Z371" s="4"/>
      <c r="AA371" s="4"/>
      <c r="AB371" s="4"/>
      <c r="AC371" s="1410"/>
      <c r="AD371" s="1410"/>
      <c r="AE371" s="1410"/>
      <c r="AF371" s="1410"/>
    </row>
    <row r="372" spans="1:34" ht="13" customHeight="1">
      <c r="E372" s="4" t="s">
        <v>1</v>
      </c>
      <c r="F372" s="4"/>
      <c r="G372" s="4"/>
      <c r="H372" s="4"/>
      <c r="I372" s="4"/>
      <c r="J372" s="4"/>
      <c r="K372" s="4"/>
      <c r="L372" s="4"/>
      <c r="N372" s="1410"/>
      <c r="O372" s="1410"/>
      <c r="P372" s="1410"/>
      <c r="Q372" s="1410"/>
      <c r="R372" s="4"/>
      <c r="V372" s="4"/>
      <c r="W372" s="4"/>
      <c r="X372" s="4"/>
      <c r="Y372" s="4"/>
      <c r="Z372" s="4"/>
      <c r="AA372" s="4"/>
      <c r="AB372" s="4"/>
    </row>
    <row r="373" spans="1:34" ht="13" customHeight="1">
      <c r="E373" s="4" t="s">
        <v>2</v>
      </c>
      <c r="F373" s="4"/>
      <c r="G373" s="4"/>
      <c r="H373" s="4"/>
      <c r="I373" s="4"/>
      <c r="J373" s="4"/>
      <c r="K373" s="4"/>
      <c r="L373" s="4"/>
      <c r="N373" s="1530"/>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512"/>
      <c r="T377" s="1512"/>
      <c r="U377" s="1" t="s">
        <v>306</v>
      </c>
      <c r="V377" s="1512"/>
      <c r="W377" s="1512"/>
      <c r="Y377" t="s">
        <v>2079</v>
      </c>
      <c r="AC377" s="27" t="s">
        <v>305</v>
      </c>
      <c r="AD377" s="1512"/>
      <c r="AE377" s="1512"/>
      <c r="AF377" s="1" t="s">
        <v>306</v>
      </c>
      <c r="AG377" s="1512"/>
      <c r="AH377" s="1512"/>
    </row>
    <row r="378" spans="1:34" ht="13" customHeight="1">
      <c r="E378" s="4" t="s">
        <v>987</v>
      </c>
      <c r="F378" s="4"/>
      <c r="G378" s="4"/>
      <c r="H378" s="4"/>
      <c r="I378" s="4"/>
      <c r="J378" s="4"/>
      <c r="K378" s="4"/>
      <c r="L378" s="4"/>
      <c r="N378" s="1512"/>
      <c r="O378" s="1512"/>
      <c r="P378" s="1512"/>
    </row>
    <row r="379" spans="1:34" ht="13" customHeight="1">
      <c r="E379" s="204" t="s">
        <v>2085</v>
      </c>
      <c r="F379" s="4"/>
      <c r="G379" s="4"/>
      <c r="H379" s="4"/>
      <c r="I379" s="4"/>
      <c r="J379" s="4"/>
      <c r="K379" s="4"/>
      <c r="L379" s="4"/>
      <c r="AG379" s="1529" t="s">
        <v>591</v>
      </c>
      <c r="AH379" s="1529"/>
    </row>
    <row r="380" spans="1:34" ht="13" customHeight="1">
      <c r="E380" s="4"/>
      <c r="F380" s="4"/>
      <c r="G380" s="4" t="s">
        <v>2086</v>
      </c>
      <c r="H380" s="4"/>
      <c r="I380" s="4"/>
      <c r="J380" s="4"/>
      <c r="K380" s="4"/>
      <c r="L380" s="4"/>
      <c r="AG380" s="1529" t="s">
        <v>591</v>
      </c>
      <c r="AH380" s="1529"/>
    </row>
    <row r="381" spans="1:34" ht="13" customHeight="1">
      <c r="E381" s="4"/>
      <c r="F381" s="4"/>
      <c r="G381" s="320" t="s">
        <v>988</v>
      </c>
      <c r="H381" s="4"/>
      <c r="I381" s="4"/>
      <c r="J381" s="4"/>
      <c r="K381" s="4"/>
      <c r="L381" s="4"/>
      <c r="V381" s="1476" t="s">
        <v>591</v>
      </c>
      <c r="W381" s="1476"/>
      <c r="Y381" s="22" t="s">
        <v>980</v>
      </c>
    </row>
    <row r="382" spans="1:34" ht="13" customHeight="1">
      <c r="E382" s="4" t="s">
        <v>981</v>
      </c>
      <c r="F382" s="4"/>
      <c r="G382" s="4"/>
      <c r="H382" s="4"/>
      <c r="I382" s="4"/>
      <c r="J382" s="4"/>
      <c r="K382" s="4"/>
      <c r="L382" s="4"/>
      <c r="V382" s="1476" t="s">
        <v>591</v>
      </c>
      <c r="W382" s="1476"/>
      <c r="Y382" s="4" t="s">
        <v>982</v>
      </c>
    </row>
    <row r="383" spans="1:34" ht="13" customHeight="1"/>
    <row r="384" spans="1:34" ht="13" customHeight="1">
      <c r="A384" s="2" t="s">
        <v>78</v>
      </c>
      <c r="B384" s="2"/>
    </row>
    <row r="385" spans="4:36" ht="13" customHeight="1">
      <c r="D385" t="s">
        <v>428</v>
      </c>
      <c r="J385" s="1487" t="s">
        <v>2734</v>
      </c>
      <c r="K385" s="1487"/>
      <c r="L385" s="1487"/>
      <c r="M385" s="1487"/>
      <c r="N385" s="1487"/>
      <c r="O385" s="1487"/>
      <c r="P385" s="1487"/>
      <c r="Q385" s="1487"/>
      <c r="R385" s="1487"/>
      <c r="S385" s="1487"/>
      <c r="T385" s="1487"/>
      <c r="U385" s="1487"/>
      <c r="V385" s="8" t="s">
        <v>83</v>
      </c>
      <c r="W385" s="8"/>
      <c r="X385" s="8"/>
      <c r="Y385" s="8"/>
      <c r="Z385" s="8"/>
      <c r="AA385" s="8"/>
      <c r="AB385" s="8"/>
      <c r="AC385" s="1487" t="s">
        <v>2715</v>
      </c>
      <c r="AD385" s="1487"/>
      <c r="AE385" s="1487"/>
      <c r="AF385" s="1487"/>
      <c r="AG385" s="1487"/>
      <c r="AH385" s="1487"/>
      <c r="AI385" s="1487"/>
      <c r="AJ385" s="1487"/>
    </row>
    <row r="386" spans="4:36" ht="13" customHeight="1">
      <c r="D386" s="3" t="s">
        <v>1182</v>
      </c>
      <c r="J386" s="1455" t="s">
        <v>2715</v>
      </c>
      <c r="K386" s="1455"/>
      <c r="L386" s="1455"/>
      <c r="M386" s="1455"/>
      <c r="N386" s="1455"/>
      <c r="O386" s="1455"/>
      <c r="P386" s="1455"/>
      <c r="Q386" s="1455"/>
      <c r="R386" s="1455"/>
      <c r="S386" s="1455"/>
      <c r="T386" s="1455"/>
      <c r="U386" s="1455"/>
      <c r="V386" s="3" t="s">
        <v>1182</v>
      </c>
      <c r="W386" s="8"/>
      <c r="X386" s="8"/>
      <c r="Y386" s="8"/>
      <c r="Z386" s="8"/>
      <c r="AA386" s="8"/>
      <c r="AB386" s="8"/>
      <c r="AC386" s="1487"/>
      <c r="AD386" s="1487"/>
      <c r="AE386" s="1487"/>
      <c r="AF386" s="1487"/>
      <c r="AG386" s="1487"/>
      <c r="AH386" s="1487"/>
      <c r="AI386" s="1487"/>
      <c r="AJ386" s="1487"/>
    </row>
    <row r="387" spans="4:36" ht="13" customHeight="1">
      <c r="D387" s="3" t="s">
        <v>441</v>
      </c>
      <c r="J387" s="1455"/>
      <c r="K387" s="1455"/>
      <c r="L387" s="1455"/>
      <c r="M387" s="1455"/>
      <c r="N387" s="1455"/>
      <c r="O387" s="1455"/>
      <c r="P387" s="1455"/>
      <c r="Q387" s="1455"/>
      <c r="R387" s="1455"/>
      <c r="S387" s="1455"/>
      <c r="T387" s="1455"/>
      <c r="U387" s="1455"/>
      <c r="V387" s="3" t="s">
        <v>441</v>
      </c>
      <c r="W387" s="8"/>
      <c r="X387" s="8"/>
      <c r="Y387" s="8"/>
      <c r="Z387" s="8"/>
      <c r="AA387" s="8"/>
      <c r="AB387" s="8"/>
      <c r="AC387" s="1487"/>
      <c r="AD387" s="1487"/>
      <c r="AE387" s="1487"/>
      <c r="AF387" s="1487"/>
      <c r="AG387" s="1487"/>
      <c r="AH387" s="1487"/>
      <c r="AI387" s="1487"/>
      <c r="AJ387" s="1487"/>
    </row>
    <row r="388" spans="4:36" ht="13" customHeight="1">
      <c r="D388" t="s">
        <v>1178</v>
      </c>
      <c r="J388" s="1430" t="s">
        <v>2615</v>
      </c>
      <c r="K388" s="1430"/>
      <c r="L388" s="1430"/>
      <c r="M388" s="1430"/>
      <c r="N388" s="1430"/>
      <c r="O388" s="1430"/>
      <c r="P388" s="1430"/>
      <c r="Q388" s="1430"/>
      <c r="R388" s="1430"/>
      <c r="S388" s="1430"/>
      <c r="T388" s="1430"/>
      <c r="U388" s="1430"/>
      <c r="V388" s="1487" t="s">
        <v>2626</v>
      </c>
      <c r="W388" s="1487"/>
      <c r="X388" s="1487"/>
      <c r="Y388" s="1487"/>
      <c r="Z388" s="1487"/>
      <c r="AA388" s="1487"/>
      <c r="AB388" s="1487"/>
      <c r="AC388" s="1487"/>
      <c r="AD388" s="1487"/>
      <c r="AE388" s="1487"/>
      <c r="AF388" s="1487"/>
      <c r="AG388" s="1487"/>
      <c r="AH388" s="1487"/>
      <c r="AI388" s="1487"/>
      <c r="AJ388" s="1487"/>
    </row>
    <row r="389" spans="4:36" ht="13" customHeight="1">
      <c r="D389" t="s">
        <v>4</v>
      </c>
      <c r="Q389" s="1518">
        <v>45909</v>
      </c>
      <c r="R389" s="1518"/>
      <c r="S389" s="1518"/>
      <c r="T389" s="1518"/>
      <c r="U389" s="1518"/>
      <c r="V389" t="s">
        <v>309</v>
      </c>
      <c r="AI389" s="1476" t="s">
        <v>669</v>
      </c>
      <c r="AJ389" s="1476"/>
    </row>
    <row r="390" spans="4:36" ht="13" customHeight="1">
      <c r="D390" t="s">
        <v>5</v>
      </c>
      <c r="Q390" s="1380">
        <v>46203</v>
      </c>
      <c r="R390" s="1537"/>
      <c r="S390" s="1537"/>
      <c r="T390" s="1537"/>
      <c r="U390" s="1537"/>
      <c r="W390" s="21" t="s">
        <v>74</v>
      </c>
      <c r="AG390" s="1510"/>
      <c r="AH390" s="1510"/>
      <c r="AI390" s="1510"/>
      <c r="AJ390" s="1510"/>
    </row>
    <row r="391" spans="4:36" ht="13" customHeight="1">
      <c r="D391" t="s">
        <v>427</v>
      </c>
      <c r="Q391" s="1534">
        <v>21000000</v>
      </c>
      <c r="R391" s="1534"/>
      <c r="S391" s="1534"/>
      <c r="T391" s="1534"/>
      <c r="U391" s="1534"/>
      <c r="V391" s="3" t="s">
        <v>1181</v>
      </c>
      <c r="AG391" s="1524">
        <v>45933</v>
      </c>
      <c r="AH391" s="1524"/>
      <c r="AI391" s="1524"/>
      <c r="AJ391" s="1524"/>
    </row>
    <row r="392" spans="4:36" ht="13" customHeight="1">
      <c r="D392" t="s">
        <v>88</v>
      </c>
      <c r="I392" s="1536"/>
      <c r="J392" s="1536"/>
      <c r="K392" s="1536"/>
      <c r="L392" s="1536"/>
      <c r="M392" s="1536"/>
      <c r="N392" s="1536"/>
      <c r="Q392" s="4" t="s">
        <v>206</v>
      </c>
      <c r="S392" s="1533"/>
      <c r="T392" s="1533"/>
      <c r="U392" s="1533"/>
      <c r="V392" t="s">
        <v>73</v>
      </c>
      <c r="AI392" s="1476" t="s">
        <v>669</v>
      </c>
      <c r="AJ392" s="1476"/>
    </row>
    <row r="393" spans="4:36" ht="13" customHeight="1">
      <c r="D393" t="s">
        <v>310</v>
      </c>
      <c r="Q393" s="1528"/>
      <c r="R393" s="1528"/>
      <c r="S393" s="1528"/>
      <c r="T393" s="1528"/>
      <c r="U393" s="1528"/>
      <c r="V393" t="s">
        <v>311</v>
      </c>
      <c r="AG393" s="1510"/>
      <c r="AH393" s="1510"/>
      <c r="AI393" s="1510"/>
      <c r="AJ393" s="1510"/>
    </row>
    <row r="394" spans="4:36" ht="13" customHeight="1">
      <c r="D394" t="s">
        <v>312</v>
      </c>
      <c r="Q394" s="1578"/>
      <c r="R394" s="1578"/>
      <c r="S394" s="1578"/>
      <c r="T394" s="1578"/>
      <c r="U394" s="1578"/>
      <c r="V394" t="s">
        <v>1163</v>
      </c>
      <c r="AG394" s="1510"/>
      <c r="AH394" s="1510"/>
      <c r="AI394" s="1510"/>
      <c r="AJ394" s="1510"/>
    </row>
    <row r="395" spans="4:36" ht="13" customHeight="1">
      <c r="D395" t="s">
        <v>1162</v>
      </c>
      <c r="AG395" s="1510"/>
      <c r="AH395" s="1510"/>
      <c r="AI395" s="1510"/>
      <c r="AJ395" s="1510"/>
    </row>
    <row r="396" spans="4:36" ht="13" customHeight="1">
      <c r="AG396" s="456"/>
      <c r="AH396" s="456"/>
      <c r="AI396" s="456"/>
      <c r="AJ396" s="456"/>
    </row>
    <row r="397" spans="4:36" ht="13" customHeight="1">
      <c r="D397" s="3" t="s">
        <v>2142</v>
      </c>
      <c r="AG397" s="456"/>
      <c r="AH397" s="456"/>
      <c r="AI397" s="1476" t="s">
        <v>669</v>
      </c>
      <c r="AJ397" s="1476"/>
    </row>
    <row r="398" spans="4:36" ht="13" customHeight="1">
      <c r="D398" s="3" t="s">
        <v>1667</v>
      </c>
      <c r="T398" s="1461"/>
      <c r="U398" s="1461"/>
      <c r="V398" s="1461"/>
      <c r="W398" s="1461"/>
      <c r="X398" s="1461"/>
      <c r="Y398" s="1461"/>
      <c r="Z398" s="1461"/>
      <c r="AA398" s="1461"/>
      <c r="AB398" s="1461"/>
      <c r="AC398" s="1461"/>
      <c r="AD398" s="1461"/>
      <c r="AE398" s="1461"/>
      <c r="AF398" s="1461"/>
      <c r="AG398" s="1461"/>
      <c r="AH398" s="1461"/>
      <c r="AI398" s="1461"/>
      <c r="AJ398" s="1461"/>
    </row>
    <row r="399" spans="4:36" ht="13" customHeight="1">
      <c r="D399" s="3" t="s">
        <v>1666</v>
      </c>
      <c r="T399" s="1461"/>
      <c r="U399" s="1461"/>
      <c r="V399" s="1461"/>
      <c r="W399" s="1461"/>
      <c r="X399" s="1461"/>
      <c r="Y399" s="1461"/>
      <c r="Z399" s="1461"/>
      <c r="AA399" s="1461"/>
      <c r="AB399" s="1461"/>
      <c r="AC399" s="1461"/>
      <c r="AD399" s="1461"/>
      <c r="AE399" s="1461"/>
      <c r="AF399" s="1461"/>
      <c r="AG399" s="1461"/>
      <c r="AH399" s="1461"/>
      <c r="AI399" s="1461"/>
      <c r="AJ399" s="1461"/>
    </row>
    <row r="400" spans="4:36" ht="13" customHeight="1">
      <c r="AG400" s="456"/>
      <c r="AH400" s="456"/>
      <c r="AI400" s="456"/>
      <c r="AJ400" s="456"/>
    </row>
    <row r="401" spans="1:36" ht="13" customHeight="1">
      <c r="D401" s="3" t="s">
        <v>1660</v>
      </c>
      <c r="S401" s="1461" t="s">
        <v>669</v>
      </c>
      <c r="T401" s="1461"/>
      <c r="U401" s="1461"/>
      <c r="V401" t="s">
        <v>1661</v>
      </c>
      <c r="AG401" s="1519"/>
      <c r="AH401" s="1519"/>
      <c r="AI401" s="1519"/>
      <c r="AJ401" s="1519"/>
    </row>
    <row r="402" spans="1:36" ht="13" customHeight="1">
      <c r="D402" s="3" t="s">
        <v>1658</v>
      </c>
      <c r="S402" s="1461" t="s">
        <v>591</v>
      </c>
      <c r="T402" s="1461"/>
      <c r="U402" s="1461"/>
      <c r="V402" t="s">
        <v>1663</v>
      </c>
      <c r="AE402" s="1523"/>
      <c r="AF402" s="1523"/>
      <c r="AG402" s="1523"/>
      <c r="AH402" s="1523"/>
      <c r="AI402" s="1523"/>
      <c r="AJ402" s="1523"/>
    </row>
    <row r="403" spans="1:36" ht="13" customHeight="1">
      <c r="D403" s="3" t="s">
        <v>1659</v>
      </c>
      <c r="K403" s="1525"/>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row>
    <row r="404" spans="1:36" ht="13" customHeight="1">
      <c r="D404" s="3" t="s">
        <v>1662</v>
      </c>
      <c r="K404" s="1525"/>
      <c r="L404" s="1525"/>
      <c r="M404" s="1525"/>
      <c r="N404" s="1525"/>
      <c r="O404" s="1525"/>
      <c r="P404" s="1525"/>
      <c r="Q404" s="1525"/>
      <c r="R404" s="1525"/>
      <c r="S404" s="1525"/>
      <c r="T404" s="1525"/>
      <c r="U404" s="1525"/>
      <c r="V404" s="1525"/>
      <c r="W404" s="1525"/>
      <c r="X404" s="1525"/>
      <c r="Y404" s="1525"/>
      <c r="Z404" s="1525"/>
      <c r="AA404" s="1525"/>
      <c r="AB404" s="1525"/>
      <c r="AC404" s="1525"/>
      <c r="AD404" s="1525"/>
      <c r="AE404" s="1525"/>
      <c r="AF404" s="1525"/>
      <c r="AG404" s="1525"/>
      <c r="AH404" s="1525"/>
      <c r="AI404" s="1525"/>
      <c r="AJ404" s="1525"/>
    </row>
    <row r="405" spans="1:36" ht="13" customHeight="1">
      <c r="D405" s="3" t="s">
        <v>1665</v>
      </c>
      <c r="E405" s="477"/>
      <c r="F405" s="477"/>
      <c r="G405" s="477"/>
      <c r="H405" s="477"/>
      <c r="I405" s="477"/>
      <c r="J405" s="477"/>
      <c r="K405" s="477"/>
      <c r="L405" s="477"/>
      <c r="M405" s="477"/>
      <c r="N405" s="477"/>
      <c r="O405" s="477"/>
      <c r="P405" s="477"/>
      <c r="Q405" s="477"/>
      <c r="R405" s="477"/>
      <c r="S405" s="1532" t="s">
        <v>2707</v>
      </c>
      <c r="T405" s="1532"/>
      <c r="U405" s="1532"/>
      <c r="V405" s="1532"/>
      <c r="W405" s="1532"/>
      <c r="X405" s="1532"/>
      <c r="Y405" s="1532"/>
      <c r="Z405" s="1532"/>
      <c r="AA405" s="1532"/>
      <c r="AB405" s="1532"/>
      <c r="AC405" s="1532"/>
      <c r="AD405" s="1532"/>
      <c r="AE405" s="1532"/>
      <c r="AF405" s="1532"/>
      <c r="AG405" s="1532"/>
      <c r="AH405" s="1532"/>
      <c r="AI405" s="1532"/>
      <c r="AJ405" s="1532"/>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527" t="s">
        <v>2648</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3" customHeight="1">
      <c r="E411" t="s">
        <v>106</v>
      </c>
      <c r="R411" s="1476" t="s">
        <v>545</v>
      </c>
      <c r="S411" s="1476"/>
      <c r="AC411" s="27" t="s">
        <v>570</v>
      </c>
      <c r="AD411" s="1410">
        <v>18</v>
      </c>
      <c r="AE411" s="1410"/>
    </row>
    <row r="412" spans="1:36" ht="13" customHeight="1">
      <c r="E412" t="s">
        <v>107</v>
      </c>
      <c r="R412" s="1476" t="s">
        <v>591</v>
      </c>
      <c r="S412" s="1476"/>
      <c r="AC412" s="27" t="s">
        <v>570</v>
      </c>
      <c r="AD412" s="1410"/>
      <c r="AE412" s="1410"/>
    </row>
    <row r="413" spans="1:36" ht="13" customHeight="1">
      <c r="E413" t="s">
        <v>108</v>
      </c>
      <c r="S413" s="1476" t="s">
        <v>591</v>
      </c>
      <c r="T413" s="1476"/>
    </row>
    <row r="414" spans="1:36" ht="13" customHeight="1">
      <c r="E414" t="s">
        <v>170</v>
      </c>
      <c r="H414" s="1579" t="s">
        <v>334</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3"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3" customHeight="1"/>
    <row r="417" spans="1:39" ht="13" customHeight="1">
      <c r="A417" s="2" t="s">
        <v>590</v>
      </c>
      <c r="B417" s="2"/>
      <c r="C417" s="2"/>
      <c r="D417" s="2" t="s">
        <v>114</v>
      </c>
      <c r="AF417" s="2" t="s">
        <v>957</v>
      </c>
    </row>
    <row r="418" spans="1:39" ht="13" customHeight="1">
      <c r="E418" s="1512"/>
      <c r="F418" s="1512"/>
      <c r="G418" s="1512"/>
      <c r="H418" s="13" t="s">
        <v>115</v>
      </c>
      <c r="I418" s="1512"/>
      <c r="J418" s="1512"/>
      <c r="K418" s="1512"/>
      <c r="L418" t="s">
        <v>116</v>
      </c>
      <c r="N418" s="27" t="s">
        <v>575</v>
      </c>
      <c r="P418" s="1582">
        <v>1.04</v>
      </c>
      <c r="Q418" s="1582"/>
      <c r="R418" s="1582"/>
      <c r="S418" t="s">
        <v>117</v>
      </c>
      <c r="W418" s="1526">
        <f>IF(E418&gt;0,(E418*I418),(P418*43560))</f>
        <v>45302.400000000001</v>
      </c>
      <c r="X418" s="1526"/>
      <c r="Y418" s="1526"/>
      <c r="Z418" t="s">
        <v>118</v>
      </c>
      <c r="AF418" s="1583">
        <f>IFERROR(IF(P418&gt;0,(AG437/P418),(AG437/(W418/43560))),0)</f>
        <v>192.30769230769229</v>
      </c>
      <c r="AG418" s="1583"/>
      <c r="AH418" s="1583"/>
      <c r="AM418" s="3"/>
    </row>
    <row r="419" spans="1:39" ht="13" customHeight="1">
      <c r="E419" t="s">
        <v>51</v>
      </c>
    </row>
    <row r="420" spans="1:39" ht="13" customHeight="1">
      <c r="E420" s="1511"/>
      <c r="F420" s="1511"/>
      <c r="G420" s="1511"/>
      <c r="H420" s="1511"/>
      <c r="I420" s="1511"/>
      <c r="J420" s="1511"/>
      <c r="K420" s="1511"/>
      <c r="L420" s="1511"/>
      <c r="M420" s="1511"/>
      <c r="N420" s="1511"/>
      <c r="O420" s="1511"/>
      <c r="P420" s="1511"/>
      <c r="Q420" s="1511"/>
      <c r="R420" s="1511"/>
      <c r="S420" s="1511"/>
      <c r="T420" s="1511"/>
      <c r="U420" s="1511"/>
      <c r="V420" s="1511"/>
      <c r="W420" s="1511"/>
      <c r="X420" s="1511"/>
      <c r="Y420" s="1511"/>
      <c r="Z420" s="1511"/>
      <c r="AA420" s="1511"/>
      <c r="AB420" s="1511"/>
      <c r="AC420" s="1511"/>
      <c r="AD420" s="1511"/>
      <c r="AE420" s="1511"/>
      <c r="AF420" s="1511"/>
      <c r="AG420" s="1511"/>
      <c r="AH420" s="1511"/>
      <c r="AI420" s="1511"/>
      <c r="AJ420" s="1511"/>
    </row>
    <row r="421" spans="1:39" ht="13" customHeight="1">
      <c r="E421" s="118" t="s">
        <v>1736</v>
      </c>
      <c r="F421" s="1013"/>
      <c r="G421" s="1013"/>
      <c r="H421" s="1013"/>
      <c r="I421" s="1581">
        <v>1.04</v>
      </c>
      <c r="J421" s="1581"/>
      <c r="K421" s="1581"/>
      <c r="L421" s="1013"/>
      <c r="M421" s="118"/>
      <c r="N421" s="1013"/>
      <c r="O421" s="1013"/>
      <c r="P421" s="1835">
        <f>(DU755+DU778+DU800)/I421</f>
        <v>255.76923076923077</v>
      </c>
      <c r="Q421" s="1835"/>
      <c r="R421" s="183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76">
        <v>1</v>
      </c>
      <c r="Q424" s="1476"/>
      <c r="S424" t="s">
        <v>189</v>
      </c>
      <c r="AE424" s="1476">
        <v>1</v>
      </c>
      <c r="AF424" s="1476"/>
    </row>
    <row r="425" spans="1:39" ht="13" customHeight="1">
      <c r="E425" t="s">
        <v>190</v>
      </c>
      <c r="P425" s="1476">
        <v>0</v>
      </c>
      <c r="Q425" s="1476"/>
      <c r="S425" t="s">
        <v>131</v>
      </c>
      <c r="AE425" s="1476" t="s">
        <v>591</v>
      </c>
      <c r="AF425" s="1476"/>
    </row>
    <row r="426" spans="1:39" ht="13" customHeight="1">
      <c r="F426" s="28" t="s">
        <v>132</v>
      </c>
    </row>
    <row r="427" spans="1:39" ht="13" customHeight="1">
      <c r="F427" s="1521"/>
      <c r="G427" s="1521"/>
      <c r="H427" s="1521"/>
      <c r="I427" s="1521"/>
      <c r="J427" s="1521"/>
      <c r="K427" s="1521"/>
      <c r="L427" s="1521"/>
      <c r="M427" s="1521"/>
      <c r="N427" s="1521"/>
      <c r="O427" s="1521"/>
      <c r="P427" s="1521"/>
      <c r="Q427" s="1521"/>
      <c r="R427" s="1521"/>
      <c r="S427" s="1521"/>
      <c r="T427" s="1521"/>
      <c r="U427" s="1521"/>
      <c r="V427" s="1521"/>
      <c r="W427" s="1521"/>
      <c r="X427" s="1521"/>
      <c r="Y427" s="1521"/>
      <c r="Z427" s="1521"/>
      <c r="AA427" s="1521"/>
      <c r="AB427" s="1521"/>
      <c r="AC427" s="1521"/>
      <c r="AD427" s="1521"/>
      <c r="AE427" s="1521"/>
      <c r="AF427" s="1521"/>
      <c r="AG427" s="1521"/>
      <c r="AH427" s="1521"/>
    </row>
    <row r="428" spans="1:39" ht="13" customHeight="1">
      <c r="F428" s="1470"/>
      <c r="G428" s="1470"/>
      <c r="H428" s="1470"/>
      <c r="I428" s="1470"/>
      <c r="J428" s="1470"/>
      <c r="K428" s="1470"/>
      <c r="L428" s="1470"/>
      <c r="M428" s="1470"/>
      <c r="N428" s="1470"/>
      <c r="O428" s="1470"/>
      <c r="P428" s="1470"/>
      <c r="Q428" s="1470"/>
      <c r="R428" s="1470"/>
      <c r="S428" s="1470"/>
      <c r="T428" s="1470"/>
      <c r="U428" s="1470"/>
      <c r="V428" s="1470"/>
      <c r="W428" s="1470"/>
      <c r="X428" s="1470"/>
      <c r="Y428" s="1470"/>
      <c r="Z428" s="1470"/>
      <c r="AA428" s="1470"/>
      <c r="AB428" s="1470"/>
      <c r="AC428" s="1470"/>
      <c r="AD428" s="1470"/>
      <c r="AE428" s="1470"/>
      <c r="AF428" s="1470"/>
      <c r="AG428" s="1470"/>
      <c r="AH428" s="1470"/>
    </row>
    <row r="429" spans="1:39" ht="13" customHeight="1">
      <c r="E429" t="s">
        <v>608</v>
      </c>
      <c r="P429" s="1"/>
      <c r="Q429" s="1476" t="s">
        <v>545</v>
      </c>
      <c r="R429" s="1476"/>
    </row>
    <row r="430" spans="1:39" ht="13" customHeight="1">
      <c r="F430" t="s">
        <v>609</v>
      </c>
      <c r="P430" s="1"/>
      <c r="Q430" s="1"/>
      <c r="AF430" s="1476" t="s">
        <v>591</v>
      </c>
      <c r="AG430" s="1584"/>
    </row>
    <row r="431" spans="1:39" ht="13" customHeight="1"/>
    <row r="432" spans="1:39" ht="13" customHeight="1">
      <c r="A432" s="2"/>
      <c r="B432" s="2"/>
      <c r="C432" s="2"/>
      <c r="E432" s="4" t="s">
        <v>308</v>
      </c>
      <c r="Z432" s="1476" t="s">
        <v>669</v>
      </c>
      <c r="AA432" s="147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76" t="s">
        <v>591</v>
      </c>
      <c r="AA434" s="1476"/>
    </row>
    <row r="435" spans="1:55" ht="13" customHeight="1"/>
    <row r="436" spans="1:55" ht="13" customHeight="1">
      <c r="A436" s="2" t="s">
        <v>467</v>
      </c>
      <c r="B436" s="2"/>
      <c r="C436" s="2"/>
      <c r="D436" s="2" t="s">
        <v>764</v>
      </c>
      <c r="AF436" s="48"/>
    </row>
    <row r="437" spans="1:55" ht="13" customHeight="1">
      <c r="D437" s="1513" t="s">
        <v>43</v>
      </c>
      <c r="E437" s="1514"/>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c r="AB437" s="1514"/>
      <c r="AC437" s="1514"/>
      <c r="AD437" s="1514"/>
      <c r="AE437" s="1514"/>
      <c r="AF437" s="1515"/>
      <c r="AG437" s="1405">
        <v>200</v>
      </c>
      <c r="AH437" s="1405"/>
      <c r="AI437" s="1405"/>
      <c r="AJ437" s="1405"/>
    </row>
    <row r="438" spans="1:55" ht="13" customHeight="1">
      <c r="D438" s="1463" t="s">
        <v>1222</v>
      </c>
      <c r="E438" s="1464"/>
      <c r="F438" s="1464"/>
      <c r="G438" s="1464"/>
      <c r="H438" s="1464"/>
      <c r="I438" s="1464"/>
      <c r="J438" s="1464"/>
      <c r="K438" s="1464"/>
      <c r="L438" s="1464"/>
      <c r="M438" s="1464"/>
      <c r="N438" s="1464"/>
      <c r="O438" s="1464"/>
      <c r="P438" s="1464"/>
      <c r="Q438" s="1464"/>
      <c r="R438" s="1464"/>
      <c r="S438" s="1464"/>
      <c r="T438" s="1464"/>
      <c r="U438" s="1464"/>
      <c r="V438" s="1464"/>
      <c r="W438" s="1464"/>
      <c r="X438" s="1464"/>
      <c r="Y438" s="1464"/>
      <c r="Z438" s="1464"/>
      <c r="AA438" s="1464"/>
      <c r="AB438" s="1464"/>
      <c r="AC438" s="1464"/>
      <c r="AD438" s="1464"/>
      <c r="AE438" s="1464"/>
      <c r="AF438" s="1465"/>
      <c r="AG438" s="1516"/>
      <c r="AH438" s="1517"/>
      <c r="AI438" s="1517"/>
      <c r="AJ438" s="1517"/>
    </row>
    <row r="439" spans="1:55" ht="13" customHeight="1">
      <c r="D439" s="1463" t="s">
        <v>1031</v>
      </c>
      <c r="E439" s="1464"/>
      <c r="F439" s="1464"/>
      <c r="G439" s="1464"/>
      <c r="H439" s="1464"/>
      <c r="I439" s="1464"/>
      <c r="J439" s="1464"/>
      <c r="K439" s="1464"/>
      <c r="L439" s="1464"/>
      <c r="M439" s="1464"/>
      <c r="N439" s="1464"/>
      <c r="O439" s="1464"/>
      <c r="P439" s="1464"/>
      <c r="Q439" s="1464"/>
      <c r="R439" s="1464"/>
      <c r="S439" s="1464"/>
      <c r="T439" s="1464"/>
      <c r="U439" s="1464"/>
      <c r="V439" s="1464"/>
      <c r="W439" s="1464"/>
      <c r="X439" s="1464"/>
      <c r="Y439" s="1464"/>
      <c r="Z439" s="1464"/>
      <c r="AA439" s="1464"/>
      <c r="AB439" s="1464"/>
      <c r="AC439" s="1464"/>
      <c r="AD439" s="1464"/>
      <c r="AE439" s="1464"/>
      <c r="AF439" s="1465"/>
      <c r="AG439" s="1405">
        <v>198</v>
      </c>
      <c r="AH439" s="1405"/>
      <c r="AI439" s="1405"/>
      <c r="AJ439" s="1405"/>
    </row>
    <row r="440" spans="1:55" ht="13" customHeight="1">
      <c r="D440" s="1463" t="s">
        <v>1032</v>
      </c>
      <c r="E440" s="1464"/>
      <c r="F440" s="1464"/>
      <c r="G440" s="1464"/>
      <c r="H440" s="1464"/>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464"/>
      <c r="AF440" s="1465"/>
      <c r="AG440" s="1405">
        <v>198</v>
      </c>
      <c r="AH440" s="1405"/>
      <c r="AI440" s="1405"/>
      <c r="AJ440" s="1405"/>
    </row>
    <row r="441" spans="1:55" ht="13" customHeight="1">
      <c r="D441" s="1463" t="s">
        <v>1034</v>
      </c>
      <c r="E441" s="1464"/>
      <c r="F441" s="1464"/>
      <c r="G441" s="1464"/>
      <c r="H441" s="1464"/>
      <c r="I441" s="1464"/>
      <c r="J441" s="1464"/>
      <c r="K441" s="1464"/>
      <c r="L441" s="1464"/>
      <c r="M441" s="1464"/>
      <c r="N441" s="1464"/>
      <c r="O441" s="1464"/>
      <c r="P441" s="1464"/>
      <c r="Q441" s="1464"/>
      <c r="R441" s="1464"/>
      <c r="S441" s="1464"/>
      <c r="T441" s="1464"/>
      <c r="U441" s="1464"/>
      <c r="V441" s="1464"/>
      <c r="W441" s="1464"/>
      <c r="X441" s="1464"/>
      <c r="Y441" s="1464"/>
      <c r="Z441" s="1464"/>
      <c r="AA441" s="1464"/>
      <c r="AB441" s="1464"/>
      <c r="AC441" s="1464"/>
      <c r="AD441" s="1464"/>
      <c r="AE441" s="1464"/>
      <c r="AF441" s="1465"/>
      <c r="AG441" s="1439">
        <f>IF(ISERROR(AG440/AG439),0,AG440/AG439)</f>
        <v>1</v>
      </c>
      <c r="AH441" s="1439"/>
      <c r="AI441" s="1439"/>
      <c r="AJ441" s="1439"/>
    </row>
    <row r="442" spans="1:55" ht="13" customHeight="1">
      <c r="D442" s="1463" t="s">
        <v>1033</v>
      </c>
      <c r="E442" s="1464"/>
      <c r="F442" s="1464"/>
      <c r="G442" s="1464"/>
      <c r="H442" s="1464"/>
      <c r="I442" s="1464"/>
      <c r="J442" s="1464"/>
      <c r="K442" s="1464"/>
      <c r="L442" s="1464"/>
      <c r="M442" s="1464"/>
      <c r="N442" s="1464"/>
      <c r="O442" s="1464"/>
      <c r="P442" s="1464"/>
      <c r="Q442" s="1464"/>
      <c r="R442" s="1464"/>
      <c r="S442" s="1464"/>
      <c r="T442" s="1464"/>
      <c r="U442" s="1464"/>
      <c r="V442" s="1464"/>
      <c r="W442" s="1464"/>
      <c r="X442" s="1464"/>
      <c r="Y442" s="1464"/>
      <c r="Z442" s="1464"/>
      <c r="AA442" s="1464"/>
      <c r="AB442" s="1464"/>
      <c r="AC442" s="1464"/>
      <c r="AD442" s="1464"/>
      <c r="AE442" s="1464"/>
      <c r="AF442" s="1465"/>
      <c r="AG442" s="1462">
        <v>105894</v>
      </c>
      <c r="AH442" s="1462"/>
      <c r="AI442" s="1462"/>
      <c r="AJ442" s="1462"/>
    </row>
    <row r="443" spans="1:55" ht="13" customHeight="1">
      <c r="D443" s="1463" t="s">
        <v>1035</v>
      </c>
      <c r="E443" s="1464"/>
      <c r="F443" s="1464"/>
      <c r="G443" s="1464"/>
      <c r="H443" s="1464"/>
      <c r="I443" s="1464"/>
      <c r="J443" s="1464"/>
      <c r="K443" s="1464"/>
      <c r="L443" s="1464"/>
      <c r="M443" s="1464"/>
      <c r="N443" s="1464"/>
      <c r="O443" s="1464"/>
      <c r="P443" s="1464"/>
      <c r="Q443" s="1464"/>
      <c r="R443" s="1464"/>
      <c r="S443" s="1464"/>
      <c r="T443" s="1464"/>
      <c r="U443" s="1464"/>
      <c r="V443" s="1464"/>
      <c r="W443" s="1464"/>
      <c r="X443" s="1464"/>
      <c r="Y443" s="1464"/>
      <c r="Z443" s="1464"/>
      <c r="AA443" s="1464"/>
      <c r="AB443" s="1464"/>
      <c r="AC443" s="1464"/>
      <c r="AD443" s="1464"/>
      <c r="AE443" s="1464"/>
      <c r="AF443" s="1465"/>
      <c r="AG443" s="1462">
        <v>105894</v>
      </c>
      <c r="AH443" s="1462"/>
      <c r="AI443" s="1462"/>
      <c r="AJ443" s="1462"/>
    </row>
    <row r="444" spans="1:55" ht="13" customHeight="1">
      <c r="D444" s="1463" t="s">
        <v>1036</v>
      </c>
      <c r="E444" s="1464"/>
      <c r="F444" s="1464"/>
      <c r="G444" s="1464"/>
      <c r="H444" s="1464"/>
      <c r="I444" s="1464"/>
      <c r="J444" s="1464"/>
      <c r="K444" s="1464"/>
      <c r="L444" s="1464"/>
      <c r="M444" s="1464"/>
      <c r="N444" s="1464"/>
      <c r="O444" s="1464"/>
      <c r="P444" s="1464"/>
      <c r="Q444" s="1464"/>
      <c r="R444" s="1464"/>
      <c r="S444" s="1464"/>
      <c r="T444" s="1464"/>
      <c r="U444" s="1464"/>
      <c r="V444" s="1464"/>
      <c r="W444" s="1464"/>
      <c r="X444" s="1464"/>
      <c r="Y444" s="1464"/>
      <c r="Z444" s="1464"/>
      <c r="AA444" s="1464"/>
      <c r="AB444" s="1464"/>
      <c r="AC444" s="1464"/>
      <c r="AD444" s="1464"/>
      <c r="AE444" s="1464"/>
      <c r="AF444" s="1465"/>
      <c r="AG444" s="1439">
        <f>IF(ISERROR(AG443/AG442),0,AG443/AG442)</f>
        <v>1</v>
      </c>
      <c r="AH444" s="1439"/>
      <c r="AI444" s="1439"/>
      <c r="AJ444" s="1439"/>
    </row>
    <row r="445" spans="1:55" ht="13" customHeight="1">
      <c r="D445" s="1463" t="s">
        <v>1037</v>
      </c>
      <c r="E445" s="1464"/>
      <c r="F445" s="1464"/>
      <c r="G445" s="1464"/>
      <c r="H445" s="1464"/>
      <c r="I445" s="1464"/>
      <c r="J445" s="1464"/>
      <c r="K445" s="1464"/>
      <c r="L445" s="1464"/>
      <c r="M445" s="1464"/>
      <c r="N445" s="1464"/>
      <c r="O445" s="1464"/>
      <c r="P445" s="1464"/>
      <c r="Q445" s="1464"/>
      <c r="R445" s="1464"/>
      <c r="S445" s="1464"/>
      <c r="T445" s="1464"/>
      <c r="U445" s="1464"/>
      <c r="V445" s="1464"/>
      <c r="W445" s="1464"/>
      <c r="X445" s="1464"/>
      <c r="Y445" s="1464"/>
      <c r="Z445" s="1464"/>
      <c r="AA445" s="1464"/>
      <c r="AB445" s="1464"/>
      <c r="AC445" s="1464"/>
      <c r="AD445" s="1464"/>
      <c r="AE445" s="1464"/>
      <c r="AF445" s="1465"/>
      <c r="AG445" s="1439">
        <f>MIN(IF(AG441&gt;AG444,AG444,AG441),1)</f>
        <v>1</v>
      </c>
      <c r="AH445" s="1439"/>
      <c r="AI445" s="1439"/>
      <c r="AJ445" s="1439"/>
    </row>
    <row r="446" spans="1:55" ht="13" customHeight="1">
      <c r="D446" s="1463" t="s">
        <v>2087</v>
      </c>
      <c r="E446" s="1514"/>
      <c r="F446" s="1514"/>
      <c r="G446" s="1514"/>
      <c r="H446" s="1514"/>
      <c r="I446" s="1514"/>
      <c r="J446" s="1514"/>
      <c r="K446" s="1514"/>
      <c r="L446" s="1514"/>
      <c r="M446" s="1514"/>
      <c r="N446" s="1514"/>
      <c r="O446" s="1514"/>
      <c r="P446" s="1514"/>
      <c r="Q446" s="1514"/>
      <c r="R446" s="1514"/>
      <c r="S446" s="1514"/>
      <c r="T446" s="1514"/>
      <c r="U446" s="1514"/>
      <c r="V446" s="1514"/>
      <c r="W446" s="1514"/>
      <c r="X446" s="1514"/>
      <c r="Y446" s="1514"/>
      <c r="Z446" s="1514"/>
      <c r="AA446" s="1514"/>
      <c r="AB446" s="1514"/>
      <c r="AC446" s="1514"/>
      <c r="AD446" s="1514"/>
      <c r="AE446" s="1514"/>
      <c r="AF446" s="1515"/>
      <c r="AG446" s="1462">
        <v>0</v>
      </c>
      <c r="AH446" s="1462"/>
      <c r="AI446" s="1462"/>
      <c r="AJ446" s="1462"/>
      <c r="AZ446" s="34"/>
      <c r="BA446" s="34"/>
      <c r="BB446" s="34"/>
      <c r="BC446" s="34"/>
    </row>
    <row r="447" spans="1:55" ht="13" customHeight="1">
      <c r="D447" s="1513" t="s">
        <v>569</v>
      </c>
      <c r="E447" s="1514"/>
      <c r="F447" s="1514"/>
      <c r="G447" s="1514"/>
      <c r="H447" s="1514"/>
      <c r="I447" s="1514"/>
      <c r="J447" s="1514"/>
      <c r="K447" s="1514"/>
      <c r="L447" s="1514"/>
      <c r="M447" s="1514"/>
      <c r="N447" s="1514"/>
      <c r="O447" s="1514"/>
      <c r="P447" s="1514"/>
      <c r="Q447" s="1514"/>
      <c r="R447" s="1514"/>
      <c r="S447" s="1514"/>
      <c r="T447" s="1514"/>
      <c r="U447" s="1514"/>
      <c r="V447" s="1514"/>
      <c r="W447" s="1514"/>
      <c r="X447" s="1514"/>
      <c r="Y447" s="1514"/>
      <c r="Z447" s="1514"/>
      <c r="AA447" s="1514"/>
      <c r="AB447" s="1514"/>
      <c r="AC447" s="1514"/>
      <c r="AD447" s="1514"/>
      <c r="AE447" s="1514"/>
      <c r="AF447" s="1515"/>
      <c r="AG447" s="1462">
        <v>0</v>
      </c>
      <c r="AH447" s="1462"/>
      <c r="AI447" s="1462"/>
      <c r="AJ447" s="1462"/>
      <c r="AZ447" s="3"/>
      <c r="BA447" s="3"/>
      <c r="BB447" s="3"/>
      <c r="BC447" s="3"/>
    </row>
    <row r="448" spans="1:55" ht="13" customHeight="1">
      <c r="D448" s="1463" t="s">
        <v>1205</v>
      </c>
      <c r="E448" s="1514"/>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c r="AB448" s="1514"/>
      <c r="AC448" s="1514"/>
      <c r="AD448" s="1514"/>
      <c r="AE448" s="1514"/>
      <c r="AF448" s="1515"/>
      <c r="AG448" s="1462">
        <v>0</v>
      </c>
      <c r="AH448" s="1462"/>
      <c r="AI448" s="1462"/>
      <c r="AJ448" s="1462"/>
      <c r="AZ448" s="3"/>
      <c r="BA448" s="3"/>
      <c r="BB448" s="3"/>
      <c r="BC448" s="3"/>
    </row>
    <row r="449" spans="1:55" ht="13" customHeight="1">
      <c r="D449" s="1463" t="s">
        <v>1038</v>
      </c>
      <c r="E449" s="1514"/>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c r="AB449" s="1514"/>
      <c r="AC449" s="1514"/>
      <c r="AD449" s="1514"/>
      <c r="AE449" s="1514"/>
      <c r="AF449" s="1515"/>
      <c r="AG449" s="1462">
        <v>0</v>
      </c>
      <c r="AH449" s="1462"/>
      <c r="AI449" s="1462"/>
      <c r="AJ449" s="1462"/>
      <c r="BB449" s="3"/>
      <c r="BC449" s="3"/>
    </row>
    <row r="450" spans="1:55" ht="13" customHeight="1">
      <c r="D450" s="1591" t="s">
        <v>1039</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72">
        <f>AG442+AG446+AG448+AG449</f>
        <v>105894</v>
      </c>
      <c r="AH450" s="1472"/>
      <c r="AI450" s="1472"/>
      <c r="AJ450" s="1472"/>
      <c r="AZ450" s="3"/>
      <c r="BA450" s="3"/>
      <c r="BB450" s="3"/>
      <c r="BC450" s="3"/>
    </row>
    <row r="451" spans="1:55" ht="13" customHeight="1">
      <c r="D451" s="1594" t="s">
        <v>1206</v>
      </c>
      <c r="E451" s="1594"/>
      <c r="F451" s="1594"/>
      <c r="G451" s="1594"/>
      <c r="H451" s="1594"/>
      <c r="I451" s="1594"/>
      <c r="J451" s="1594"/>
      <c r="K451" s="1594"/>
      <c r="L451" s="1594"/>
      <c r="M451" s="1594"/>
      <c r="N451" s="1594"/>
      <c r="O451" s="1594"/>
      <c r="P451" s="1594"/>
      <c r="Q451" s="1594"/>
      <c r="R451" s="1594"/>
      <c r="S451" s="1594"/>
      <c r="T451" s="1594"/>
      <c r="U451" s="1594"/>
      <c r="V451" s="1594"/>
      <c r="W451" s="1594"/>
      <c r="X451" s="1594"/>
      <c r="Y451" s="1594"/>
      <c r="Z451" s="1594"/>
      <c r="AA451" s="1594"/>
      <c r="AB451" s="1594"/>
      <c r="AC451" s="1594"/>
      <c r="AD451" s="1594"/>
      <c r="AE451" s="1594"/>
      <c r="AF451" s="1594"/>
      <c r="AG451" s="1594"/>
      <c r="AH451" s="1594"/>
      <c r="AI451" s="1594"/>
      <c r="AJ451" s="1594"/>
      <c r="AZ451" s="3"/>
      <c r="BA451" s="3"/>
      <c r="BB451" s="3"/>
      <c r="BC451" s="3"/>
    </row>
    <row r="452" spans="1:55" ht="13" customHeight="1">
      <c r="D452" s="1595"/>
      <c r="E452" s="1595"/>
      <c r="F452" s="1595"/>
      <c r="G452" s="1595"/>
      <c r="H452" s="1595"/>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58">
        <f>IF(AG437=0,"",'Sources and Uses Budget'!B105/Application!AG437)</f>
        <v>454487.14500000002</v>
      </c>
      <c r="AD454" s="1458"/>
      <c r="AE454" s="1458"/>
      <c r="AF454" s="1458"/>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58">
        <f>IF(AG437=0,"",'Sources and Uses Budget'!C105/Application!AG437)</f>
        <v>454487.14500000002</v>
      </c>
      <c r="AD455" s="1458"/>
      <c r="AE455" s="1458"/>
      <c r="AF455" s="1458"/>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58">
        <f>IF(AG437=0,"",('Sources and Uses Budget'!$S$107+'Sources and Uses Budget'!$T$107)/Application!AG437)</f>
        <v>426137.91</v>
      </c>
      <c r="AD456" s="1458"/>
      <c r="AE456" s="1458"/>
      <c r="AF456" s="1458"/>
      <c r="AG456" s="177"/>
      <c r="AH456" s="177"/>
      <c r="AI456" s="177"/>
      <c r="AJ456" s="183"/>
      <c r="AZ456" s="3"/>
      <c r="BA456" s="3"/>
      <c r="BB456" s="3"/>
      <c r="BC456" s="3"/>
    </row>
    <row r="457" spans="1:55" ht="13" customHeight="1">
      <c r="D457" s="177"/>
      <c r="E457" s="177"/>
      <c r="F457" s="1459" t="str">
        <f>IFERROR(IF(AC454&gt;650000,"Please provide a justification of cost per unit in Tab 12 for all projects with per unit costs of greater than $650,000.",""),"")</f>
        <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15"/>
      <c r="AD457" s="177"/>
      <c r="AE457" s="177"/>
      <c r="AF457" s="177"/>
      <c r="AG457" s="177"/>
      <c r="AH457" s="177"/>
      <c r="AI457" s="177"/>
      <c r="AJ457" s="183"/>
      <c r="AZ457" s="3"/>
      <c r="BA457" s="3"/>
      <c r="BB457" s="3"/>
      <c r="BC457" s="3"/>
    </row>
    <row r="458" spans="1:55" ht="13" customHeight="1">
      <c r="A458" s="2"/>
      <c r="D458" s="2"/>
      <c r="E458" s="177"/>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402" t="s">
        <v>2099</v>
      </c>
      <c r="E465" s="1403"/>
      <c r="F465" s="1403"/>
      <c r="G465" s="1403"/>
      <c r="H465" s="1403"/>
      <c r="I465" s="1403"/>
      <c r="J465" s="1403"/>
      <c r="K465" s="1403"/>
      <c r="L465" s="1403"/>
      <c r="M465" s="1403"/>
      <c r="N465" s="1403"/>
      <c r="O465" s="1403"/>
      <c r="P465" s="1403"/>
      <c r="Q465" s="1403"/>
      <c r="R465" s="1403"/>
      <c r="S465" s="1403"/>
      <c r="T465" s="1403"/>
      <c r="U465" s="1403"/>
      <c r="V465" s="1404"/>
      <c r="W465" s="1411">
        <v>0</v>
      </c>
      <c r="X465" s="1412"/>
      <c r="Y465" s="141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438" t="s">
        <v>693</v>
      </c>
      <c r="E466" s="1403"/>
      <c r="F466" s="1403"/>
      <c r="G466" s="1403"/>
      <c r="H466" s="1403"/>
      <c r="I466" s="1403"/>
      <c r="J466" s="1403"/>
      <c r="K466" s="1403"/>
      <c r="L466" s="1403"/>
      <c r="M466" s="1403"/>
      <c r="N466" s="1403"/>
      <c r="O466" s="1403"/>
      <c r="P466" s="1403"/>
      <c r="Q466" s="1403"/>
      <c r="R466" s="1403"/>
      <c r="S466" s="1403"/>
      <c r="T466" s="1403"/>
      <c r="U466" s="1403"/>
      <c r="V466" s="1404"/>
      <c r="W466" s="1411">
        <v>0</v>
      </c>
      <c r="X466" s="1412"/>
      <c r="Y466" s="141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438" t="s">
        <v>694</v>
      </c>
      <c r="E467" s="1403"/>
      <c r="F467" s="1403"/>
      <c r="G467" s="1403"/>
      <c r="H467" s="1403"/>
      <c r="I467" s="1403"/>
      <c r="J467" s="1403"/>
      <c r="K467" s="1403"/>
      <c r="L467" s="1403"/>
      <c r="M467" s="1403"/>
      <c r="N467" s="1403"/>
      <c r="O467" s="1403"/>
      <c r="P467" s="1403"/>
      <c r="Q467" s="1403"/>
      <c r="R467" s="1403"/>
      <c r="S467" s="1403"/>
      <c r="T467" s="1403"/>
      <c r="U467" s="1403"/>
      <c r="V467" s="1404"/>
      <c r="W467" s="1411">
        <v>0</v>
      </c>
      <c r="X467" s="1412"/>
      <c r="Y467" s="141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438" t="s">
        <v>695</v>
      </c>
      <c r="E468" s="1403"/>
      <c r="F468" s="1403"/>
      <c r="G468" s="1403"/>
      <c r="H468" s="1403"/>
      <c r="I468" s="1403"/>
      <c r="J468" s="1403"/>
      <c r="K468" s="1403"/>
      <c r="L468" s="1403"/>
      <c r="M468" s="1403"/>
      <c r="N468" s="1403"/>
      <c r="O468" s="1403"/>
      <c r="P468" s="1403"/>
      <c r="Q468" s="1403"/>
      <c r="R468" s="1403"/>
      <c r="S468" s="1403"/>
      <c r="T468" s="1403"/>
      <c r="U468" s="1403"/>
      <c r="V468" s="1404"/>
      <c r="W468" s="1411">
        <v>0</v>
      </c>
      <c r="X468" s="1412"/>
      <c r="Y468" s="141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438" t="s">
        <v>881</v>
      </c>
      <c r="E469" s="1403"/>
      <c r="F469" s="1403"/>
      <c r="G469" s="1403"/>
      <c r="H469" s="1403"/>
      <c r="I469" s="1403"/>
      <c r="J469" s="1403"/>
      <c r="K469" s="1403"/>
      <c r="L469" s="1403"/>
      <c r="M469" s="1403"/>
      <c r="N469" s="1403"/>
      <c r="O469" s="1403"/>
      <c r="P469" s="1403"/>
      <c r="Q469" s="1403"/>
      <c r="R469" s="1403"/>
      <c r="S469" s="1403"/>
      <c r="T469" s="1403"/>
      <c r="U469" s="1403"/>
      <c r="V469" s="1404"/>
      <c r="W469" s="1411">
        <v>0</v>
      </c>
      <c r="X469" s="1412"/>
      <c r="Y469" s="141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438" t="s">
        <v>696</v>
      </c>
      <c r="E470" s="1403"/>
      <c r="F470" s="1403"/>
      <c r="G470" s="1403"/>
      <c r="H470" s="1403"/>
      <c r="I470" s="1403"/>
      <c r="J470" s="1403"/>
      <c r="K470" s="1403"/>
      <c r="L470" s="1403"/>
      <c r="M470" s="1403"/>
      <c r="N470" s="1403"/>
      <c r="O470" s="1403"/>
      <c r="P470" s="1403"/>
      <c r="Q470" s="1403"/>
      <c r="R470" s="1403"/>
      <c r="S470" s="1403"/>
      <c r="T470" s="1403"/>
      <c r="U470" s="1403"/>
      <c r="V470" s="1404"/>
      <c r="W470" s="1411">
        <v>0</v>
      </c>
      <c r="X470" s="1412"/>
      <c r="Y470" s="141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438" t="s">
        <v>1012</v>
      </c>
      <c r="E471" s="1403"/>
      <c r="F471" s="1403"/>
      <c r="G471" s="1403"/>
      <c r="H471" s="1403"/>
      <c r="I471" s="1403"/>
      <c r="J471" s="1403"/>
      <c r="K471" s="1403"/>
      <c r="L471" s="1403"/>
      <c r="M471" s="1403"/>
      <c r="N471" s="1403"/>
      <c r="O471" s="1403"/>
      <c r="P471" s="1403"/>
      <c r="Q471" s="1403"/>
      <c r="R471" s="1403"/>
      <c r="S471" s="1403"/>
      <c r="T471" s="1403"/>
      <c r="U471" s="1403"/>
      <c r="V471" s="1404"/>
      <c r="W471" s="1411">
        <v>0</v>
      </c>
      <c r="X471" s="1412"/>
      <c r="Y471" s="141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402" t="s">
        <v>2190</v>
      </c>
      <c r="E472" s="1414"/>
      <c r="F472" s="1414"/>
      <c r="G472" s="1414"/>
      <c r="H472" s="1414"/>
      <c r="I472" s="1414"/>
      <c r="J472" s="1414"/>
      <c r="K472" s="1414"/>
      <c r="L472" s="1414"/>
      <c r="M472" s="1414"/>
      <c r="N472" s="1414"/>
      <c r="O472" s="1414"/>
      <c r="P472" s="1414"/>
      <c r="Q472" s="1414"/>
      <c r="R472" s="1414"/>
      <c r="S472" s="1414"/>
      <c r="T472" s="1414"/>
      <c r="U472" s="1414"/>
      <c r="V472" s="1415"/>
      <c r="W472" s="1411">
        <v>0</v>
      </c>
      <c r="X472" s="1412"/>
      <c r="Y472" s="141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2" t="s">
        <v>1654</v>
      </c>
      <c r="E473" s="1403"/>
      <c r="F473" s="1403"/>
      <c r="G473" s="1403"/>
      <c r="H473" s="1403"/>
      <c r="I473" s="1403"/>
      <c r="J473" s="1403"/>
      <c r="K473" s="1403"/>
      <c r="L473" s="1403"/>
      <c r="M473" s="1403"/>
      <c r="N473" s="1403"/>
      <c r="O473" s="1403"/>
      <c r="P473" s="1403"/>
      <c r="Q473" s="1403"/>
      <c r="R473" s="1403"/>
      <c r="S473" s="1403"/>
      <c r="T473" s="1403"/>
      <c r="U473" s="1403"/>
      <c r="V473" s="1404"/>
      <c r="W473" s="1411">
        <v>0</v>
      </c>
      <c r="X473" s="1412"/>
      <c r="Y473" s="141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588"/>
      <c r="H474" s="1589"/>
      <c r="I474" s="1589"/>
      <c r="J474" s="1589"/>
      <c r="K474" s="1589"/>
      <c r="L474" s="1589"/>
      <c r="M474" s="1589"/>
      <c r="N474" s="1589"/>
      <c r="O474" s="1589"/>
      <c r="P474" s="1589"/>
      <c r="Q474" s="1589"/>
      <c r="R474" s="1589"/>
      <c r="S474" s="1589"/>
      <c r="T474" s="1589"/>
      <c r="U474" s="1589"/>
      <c r="V474" s="1590"/>
      <c r="W474" s="1411">
        <v>0</v>
      </c>
      <c r="X474" s="1412"/>
      <c r="Y474" s="141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58" t="s">
        <v>810</v>
      </c>
      <c r="B480" s="1558"/>
      <c r="C480" s="1558"/>
      <c r="D480" s="1558"/>
      <c r="E480" s="1558"/>
      <c r="F480" s="1558"/>
      <c r="G480" s="1558"/>
      <c r="H480" s="1558"/>
      <c r="I480" s="1558"/>
      <c r="J480" s="1558"/>
      <c r="K480" s="1558"/>
      <c r="L480" s="1558"/>
      <c r="M480" s="1558"/>
      <c r="N480" s="1558"/>
      <c r="O480" s="1558"/>
      <c r="P480" s="1558"/>
      <c r="Q480" s="1558"/>
      <c r="R480" s="1558"/>
      <c r="S480" s="1558"/>
      <c r="T480" s="1558"/>
      <c r="U480" s="1558"/>
      <c r="V480" s="1558"/>
      <c r="W480" s="1558"/>
      <c r="X480" s="1558"/>
      <c r="Y480" s="1558"/>
      <c r="Z480" s="1558"/>
      <c r="AA480" s="1558"/>
      <c r="AB480" s="1558"/>
      <c r="AC480" s="1558"/>
      <c r="AD480" s="1558"/>
      <c r="AE480" s="1558"/>
      <c r="AF480" s="1558"/>
      <c r="AG480" s="1558"/>
      <c r="AH480" s="1558"/>
      <c r="AI480" s="1558"/>
      <c r="AJ480" s="1558"/>
      <c r="AK480" s="1558"/>
      <c r="AL480" s="1558"/>
      <c r="AM480" s="1558"/>
      <c r="AN480" s="1558"/>
      <c r="AO480" s="1558"/>
      <c r="AP480" s="1558"/>
      <c r="AQ480" s="1558"/>
      <c r="AR480" s="1558"/>
      <c r="AS480" s="1558"/>
      <c r="AT480" s="1558"/>
      <c r="AU480" s="95"/>
      <c r="AV480" s="95"/>
      <c r="AW480" s="95"/>
      <c r="AX480" s="95"/>
      <c r="AY480" s="95"/>
      <c r="AZ480" s="3"/>
      <c r="BB480" s="3"/>
      <c r="BC480" s="3"/>
    </row>
    <row r="481" spans="1:55" ht="13" customHeight="1">
      <c r="A481" s="1558"/>
      <c r="B481" s="1558"/>
      <c r="C481" s="1558"/>
      <c r="D481" s="1558"/>
      <c r="E481" s="1558"/>
      <c r="F481" s="1558"/>
      <c r="G481" s="1558"/>
      <c r="H481" s="1558"/>
      <c r="I481" s="1558"/>
      <c r="J481" s="1558"/>
      <c r="K481" s="1558"/>
      <c r="L481" s="1558"/>
      <c r="M481" s="1558"/>
      <c r="N481" s="1558"/>
      <c r="O481" s="1558"/>
      <c r="P481" s="1558"/>
      <c r="Q481" s="1558"/>
      <c r="R481" s="1558"/>
      <c r="S481" s="1558"/>
      <c r="T481" s="1558"/>
      <c r="U481" s="1558"/>
      <c r="V481" s="1558"/>
      <c r="W481" s="1558"/>
      <c r="X481" s="1558"/>
      <c r="Y481" s="1558"/>
      <c r="Z481" s="1558"/>
      <c r="AA481" s="1558"/>
      <c r="AB481" s="1558"/>
      <c r="AC481" s="1558"/>
      <c r="AD481" s="1558"/>
      <c r="AE481" s="1558"/>
      <c r="AF481" s="1558"/>
      <c r="AG481" s="1558"/>
      <c r="AH481" s="1558"/>
      <c r="AI481" s="1558"/>
      <c r="AJ481" s="1558"/>
      <c r="AK481" s="1558"/>
      <c r="AL481" s="1558"/>
      <c r="AM481" s="1558"/>
      <c r="AN481" s="1558"/>
      <c r="AO481" s="1558"/>
      <c r="AP481" s="1558"/>
      <c r="AQ481" s="1558"/>
      <c r="AR481" s="1558"/>
      <c r="AS481" s="1558"/>
      <c r="AT481" s="1558"/>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406" t="s">
        <v>393</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3"/>
      <c r="BB485" s="3"/>
      <c r="BC485" s="3"/>
    </row>
    <row r="486" spans="1:55" ht="13" customHeight="1">
      <c r="B486" s="45" t="s">
        <v>394</v>
      </c>
      <c r="C486" s="5"/>
      <c r="D486" s="5"/>
      <c r="E486" s="5"/>
      <c r="F486" s="5"/>
      <c r="G486" s="5"/>
      <c r="H486" s="5"/>
      <c r="I486" s="5"/>
      <c r="J486" s="5"/>
      <c r="K486" s="5"/>
      <c r="L486" s="5"/>
      <c r="M486" s="5"/>
      <c r="N486" s="5"/>
      <c r="O486" s="5"/>
      <c r="P486" s="5"/>
      <c r="Q486" s="1454" t="s">
        <v>2708</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row>
    <row r="487" spans="1:55" ht="13" customHeight="1">
      <c r="B487" s="45" t="s">
        <v>395</v>
      </c>
      <c r="C487" s="5"/>
      <c r="D487" s="5"/>
      <c r="E487" s="5"/>
      <c r="F487" s="5"/>
      <c r="G487" s="5"/>
      <c r="H487" s="5"/>
      <c r="I487" s="5"/>
      <c r="J487" s="5"/>
      <c r="K487" s="5"/>
      <c r="L487" s="5"/>
      <c r="M487" s="5"/>
      <c r="N487" s="5"/>
      <c r="O487" s="5"/>
      <c r="P487" s="5"/>
      <c r="Q487" s="1454" t="s">
        <v>2668</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row>
    <row r="488" spans="1:55" ht="13" customHeight="1">
      <c r="B488" s="45" t="s">
        <v>396</v>
      </c>
      <c r="C488" s="5"/>
      <c r="D488" s="5"/>
      <c r="E488" s="5"/>
      <c r="F488" s="5"/>
      <c r="G488" s="5"/>
      <c r="H488" s="5"/>
      <c r="I488" s="5"/>
      <c r="J488" s="5"/>
      <c r="K488" s="5"/>
      <c r="L488" s="5"/>
      <c r="M488" s="5"/>
      <c r="N488" s="5"/>
      <c r="O488" s="5"/>
      <c r="P488" s="5"/>
      <c r="Q488" s="1454" t="s">
        <v>2668</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row>
    <row r="489" spans="1:55" ht="13" customHeight="1">
      <c r="B489" s="1444" t="s">
        <v>397</v>
      </c>
      <c r="C489" s="1445"/>
      <c r="D489" s="1445"/>
      <c r="E489" s="1445"/>
      <c r="F489" s="1445"/>
      <c r="G489" s="1445"/>
      <c r="H489" s="1445"/>
      <c r="I489" s="1445"/>
      <c r="J489" s="1445"/>
      <c r="K489" s="1445"/>
      <c r="L489" s="1445"/>
      <c r="M489" s="1445"/>
      <c r="N489" s="1445"/>
      <c r="O489" s="1445"/>
      <c r="P489" s="1446"/>
      <c r="Q489" s="1450" t="s">
        <v>669</v>
      </c>
      <c r="R489" s="1451"/>
      <c r="S489" s="1466" t="s">
        <v>166</v>
      </c>
      <c r="T489" s="1467"/>
      <c r="U489" s="1467"/>
      <c r="V489" s="1467"/>
      <c r="W489" s="1467"/>
      <c r="X489" s="1467"/>
      <c r="Y489" s="1467"/>
      <c r="Z489" s="1467"/>
      <c r="AA489" s="1467"/>
      <c r="AB489" s="1467"/>
      <c r="AC489" s="1467"/>
      <c r="AD489" s="1467"/>
      <c r="AE489" s="1467"/>
      <c r="AF489" s="1467"/>
      <c r="AG489" s="1467"/>
      <c r="AH489" s="1467"/>
      <c r="AI489" s="1467"/>
      <c r="AJ489" s="1467"/>
      <c r="AK489" s="1468"/>
      <c r="AZ489" s="3"/>
      <c r="BA489" s="3"/>
      <c r="BB489" s="3"/>
      <c r="BC489" s="3"/>
    </row>
    <row r="490" spans="1:55" ht="13" customHeight="1">
      <c r="B490" s="1447"/>
      <c r="C490" s="1448"/>
      <c r="D490" s="1448"/>
      <c r="E490" s="1448"/>
      <c r="F490" s="1448"/>
      <c r="G490" s="1448"/>
      <c r="H490" s="1448"/>
      <c r="I490" s="1448"/>
      <c r="J490" s="1448"/>
      <c r="K490" s="1448"/>
      <c r="L490" s="1448"/>
      <c r="M490" s="1448"/>
      <c r="N490" s="1448"/>
      <c r="O490" s="1448"/>
      <c r="P490" s="1449"/>
      <c r="Q490" s="1452"/>
      <c r="R490" s="1453"/>
      <c r="S490" s="1469"/>
      <c r="T490" s="1470"/>
      <c r="U490" s="1470"/>
      <c r="V490" s="1470"/>
      <c r="W490" s="1470"/>
      <c r="X490" s="1470"/>
      <c r="Y490" s="1470"/>
      <c r="Z490" s="1470"/>
      <c r="AA490" s="1470"/>
      <c r="AB490" s="1470"/>
      <c r="AC490" s="1470"/>
      <c r="AD490" s="1470"/>
      <c r="AE490" s="1470"/>
      <c r="AF490" s="1470"/>
      <c r="AG490" s="1470"/>
      <c r="AH490" s="1470"/>
      <c r="AI490" s="1470"/>
      <c r="AJ490" s="1470"/>
      <c r="AK490" s="1471"/>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96" t="s">
        <v>669</v>
      </c>
      <c r="R491" s="1397"/>
      <c r="S491" s="1397"/>
      <c r="T491" s="1397"/>
      <c r="U491" s="1397"/>
      <c r="V491" s="1397"/>
      <c r="W491" s="1397"/>
      <c r="X491" s="1397"/>
      <c r="Y491" s="1397"/>
      <c r="Z491" s="1397"/>
      <c r="AA491" s="1397"/>
      <c r="AB491" s="1397"/>
      <c r="AC491" s="1397"/>
      <c r="AD491" s="1397"/>
      <c r="AE491" s="1397"/>
      <c r="AF491" s="1397"/>
      <c r="AG491" s="1397"/>
      <c r="AH491" s="1397"/>
      <c r="AI491" s="1397"/>
      <c r="AJ491" s="1397"/>
      <c r="AK491" s="1398"/>
      <c r="AZ491" s="3"/>
      <c r="BA491" s="3"/>
      <c r="BB491" s="3"/>
      <c r="BC491" s="3"/>
    </row>
    <row r="492" spans="1:55" ht="13" customHeight="1">
      <c r="B492" s="45" t="s">
        <v>398</v>
      </c>
      <c r="C492" s="5"/>
      <c r="D492" s="5"/>
      <c r="E492" s="5"/>
      <c r="F492" s="5"/>
      <c r="G492" s="5"/>
      <c r="H492" s="5"/>
      <c r="I492" s="5"/>
      <c r="J492" s="5"/>
      <c r="K492" s="5"/>
      <c r="L492" s="5"/>
      <c r="M492" s="5"/>
      <c r="N492" s="5"/>
      <c r="O492" s="5"/>
      <c r="P492" s="5"/>
      <c r="Q492" s="1454">
        <v>0</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row>
    <row r="493" spans="1:55" ht="13" customHeight="1">
      <c r="B493" s="45" t="s">
        <v>399</v>
      </c>
      <c r="C493" s="5"/>
      <c r="D493" s="5"/>
      <c r="E493" s="5"/>
      <c r="F493" s="5"/>
      <c r="G493" s="5"/>
      <c r="H493" s="5"/>
      <c r="I493" s="5"/>
      <c r="J493" s="5"/>
      <c r="K493" s="5"/>
      <c r="L493" s="5"/>
      <c r="M493" s="5"/>
      <c r="N493" s="5"/>
      <c r="O493" s="5"/>
      <c r="P493" s="5"/>
      <c r="Q493" s="1454">
        <v>0</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row>
    <row r="494" spans="1:55" ht="13" customHeight="1">
      <c r="B494" s="121" t="s">
        <v>1668</v>
      </c>
      <c r="C494" s="5"/>
      <c r="D494" s="5"/>
      <c r="E494" s="5"/>
      <c r="F494" s="5"/>
      <c r="G494" s="5"/>
      <c r="H494" s="5"/>
      <c r="I494" s="5"/>
      <c r="J494" s="5"/>
      <c r="K494" s="5"/>
      <c r="L494" s="5"/>
      <c r="M494" s="5"/>
      <c r="N494" s="5"/>
      <c r="O494" s="5"/>
      <c r="P494" s="5"/>
      <c r="Q494" s="1454">
        <v>200</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row>
    <row r="495" spans="1:55" ht="13" customHeight="1">
      <c r="B495" s="121" t="s">
        <v>1669</v>
      </c>
      <c r="C495" s="5"/>
      <c r="D495" s="5"/>
      <c r="E495" s="5"/>
      <c r="F495" s="5"/>
      <c r="G495" s="5"/>
      <c r="H495" s="5"/>
      <c r="I495" s="5"/>
      <c r="J495" s="5"/>
      <c r="K495" s="5"/>
      <c r="L495" s="5"/>
      <c r="M495" s="1399">
        <v>200</v>
      </c>
      <c r="N495" s="1400"/>
      <c r="O495" s="1400"/>
      <c r="P495" s="1401"/>
      <c r="Q495" s="121" t="s">
        <v>1670</v>
      </c>
      <c r="R495" s="5"/>
      <c r="S495" s="5"/>
      <c r="T495" s="5"/>
      <c r="U495" s="5"/>
      <c r="V495" s="5"/>
      <c r="W495" s="5"/>
      <c r="X495" s="5"/>
      <c r="Y495" s="5"/>
      <c r="Z495" s="5"/>
      <c r="AA495" s="5"/>
      <c r="AB495" s="5"/>
      <c r="AC495" s="5"/>
      <c r="AD495" s="5"/>
      <c r="AE495" s="5"/>
      <c r="AF495" s="5"/>
      <c r="AG495" s="5"/>
      <c r="AH495" s="1399"/>
      <c r="AI495" s="1400"/>
      <c r="AJ495" s="1400"/>
      <c r="AK495" s="1401"/>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6" t="s">
        <v>401</v>
      </c>
      <c r="AD499" s="1407"/>
      <c r="AE499" s="1407"/>
      <c r="AF499" s="1407"/>
      <c r="AG499" s="1407"/>
      <c r="AH499" s="1407"/>
      <c r="AI499" s="1407"/>
      <c r="AJ499" s="1407"/>
      <c r="AK499" s="140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6" t="s">
        <v>402</v>
      </c>
      <c r="AD500" s="1407"/>
      <c r="AE500" s="1407"/>
      <c r="AF500" s="1407"/>
      <c r="AG500" s="50" t="s">
        <v>403</v>
      </c>
      <c r="AH500" s="1407" t="s">
        <v>404</v>
      </c>
      <c r="AI500" s="1407"/>
      <c r="AJ500" s="1407"/>
      <c r="AK500" s="1408"/>
      <c r="AZ500" s="3"/>
      <c r="BA500" s="3"/>
      <c r="BB500" s="3"/>
      <c r="BC500" s="3"/>
      <c r="BD500" s="3"/>
      <c r="BE500" s="3"/>
      <c r="BF500" s="3"/>
      <c r="BG500" s="3"/>
      <c r="BH500" s="3"/>
      <c r="BI500" s="3"/>
      <c r="BJ500" s="3"/>
      <c r="BK500" s="3"/>
      <c r="BL500" s="3"/>
      <c r="BM500" s="3"/>
      <c r="BN500" s="3"/>
    </row>
    <row r="501" spans="1:66" ht="13" customHeight="1">
      <c r="B501" s="1416" t="s">
        <v>405</v>
      </c>
      <c r="C501" s="1417"/>
      <c r="D501" s="1417"/>
      <c r="E501" s="1417"/>
      <c r="F501" s="1417"/>
      <c r="G501" s="1417"/>
      <c r="H501" s="1418"/>
      <c r="I501" s="42" t="s">
        <v>406</v>
      </c>
      <c r="J501" s="42"/>
      <c r="K501" s="42"/>
      <c r="L501" s="42"/>
      <c r="M501" s="42"/>
      <c r="N501" s="42"/>
      <c r="O501" s="42"/>
      <c r="P501" s="42"/>
      <c r="Q501" s="42"/>
      <c r="R501" s="42"/>
      <c r="S501" s="42"/>
      <c r="T501" s="42"/>
      <c r="U501" s="42"/>
      <c r="V501" s="42"/>
      <c r="W501" s="42"/>
      <c r="AC501" s="1409" t="s">
        <v>591</v>
      </c>
      <c r="AD501" s="1410"/>
      <c r="AE501" s="1410"/>
      <c r="AF501" s="1410"/>
      <c r="AG501" s="13" t="s">
        <v>403</v>
      </c>
      <c r="AH501" s="1430">
        <v>0</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19"/>
      <c r="C502" s="1420"/>
      <c r="D502" s="1420"/>
      <c r="E502" s="1420"/>
      <c r="F502" s="1420"/>
      <c r="G502" s="1420"/>
      <c r="H502" s="1421"/>
      <c r="I502" s="48" t="s">
        <v>407</v>
      </c>
      <c r="J502" s="48"/>
      <c r="K502" s="48"/>
      <c r="L502" s="48"/>
      <c r="M502" s="48"/>
      <c r="N502" s="48"/>
      <c r="O502" s="48"/>
      <c r="P502" s="48"/>
      <c r="Q502" s="48"/>
      <c r="R502" s="48"/>
      <c r="S502" s="48"/>
      <c r="T502" s="48"/>
      <c r="U502" s="48"/>
      <c r="V502" s="48"/>
      <c r="W502" s="48"/>
      <c r="X502" s="48"/>
      <c r="Y502" s="48"/>
      <c r="Z502" s="48"/>
      <c r="AA502" s="48"/>
      <c r="AB502" s="48"/>
      <c r="AC502" s="1409">
        <v>10</v>
      </c>
      <c r="AD502" s="1410"/>
      <c r="AE502" s="1410"/>
      <c r="AF502" s="1410"/>
      <c r="AG502" s="38" t="s">
        <v>403</v>
      </c>
      <c r="AH502" s="1430">
        <v>2025</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416" t="s">
        <v>408</v>
      </c>
      <c r="C503" s="1417"/>
      <c r="D503" s="1417"/>
      <c r="E503" s="1417"/>
      <c r="F503" s="1417"/>
      <c r="G503" s="1417"/>
      <c r="H503" s="1418"/>
      <c r="I503" s="42" t="s">
        <v>409</v>
      </c>
      <c r="J503" s="42"/>
      <c r="K503" s="42"/>
      <c r="L503" s="42"/>
      <c r="M503" s="42"/>
      <c r="N503" s="42"/>
      <c r="O503" s="42"/>
      <c r="P503" s="42"/>
      <c r="Q503" s="42"/>
      <c r="R503" s="42"/>
      <c r="S503" s="42"/>
      <c r="T503" s="42"/>
      <c r="U503" s="42"/>
      <c r="V503" s="42"/>
      <c r="W503" s="42"/>
      <c r="AC503" s="1409" t="s">
        <v>591</v>
      </c>
      <c r="AD503" s="1410"/>
      <c r="AE503" s="1410"/>
      <c r="AF503" s="1410"/>
      <c r="AG503" s="13" t="s">
        <v>403</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19"/>
      <c r="C504" s="1420"/>
      <c r="D504" s="1420"/>
      <c r="E504" s="1420"/>
      <c r="F504" s="1420"/>
      <c r="G504" s="1420"/>
      <c r="H504" s="1421"/>
      <c r="I504" t="s">
        <v>410</v>
      </c>
      <c r="AC504" s="1409" t="s">
        <v>591</v>
      </c>
      <c r="AD504" s="1410"/>
      <c r="AE504" s="1410"/>
      <c r="AF504" s="1410"/>
      <c r="AG504" s="13" t="s">
        <v>403</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19"/>
      <c r="C505" s="1420"/>
      <c r="D505" s="1420"/>
      <c r="E505" s="1420"/>
      <c r="F505" s="1420"/>
      <c r="G505" s="1420"/>
      <c r="H505" s="1421"/>
      <c r="I505" t="s">
        <v>411</v>
      </c>
      <c r="AC505" s="1409" t="s">
        <v>591</v>
      </c>
      <c r="AD505" s="1410"/>
      <c r="AE505" s="1410"/>
      <c r="AF505" s="1410"/>
      <c r="AG505" s="13" t="s">
        <v>403</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19"/>
      <c r="C506" s="1420"/>
      <c r="D506" s="1420"/>
      <c r="E506" s="1420"/>
      <c r="F506" s="1420"/>
      <c r="G506" s="1420"/>
      <c r="H506" s="1421"/>
      <c r="I506" t="s">
        <v>412</v>
      </c>
      <c r="AC506" s="1409" t="s">
        <v>591</v>
      </c>
      <c r="AD506" s="1410"/>
      <c r="AE506" s="1410"/>
      <c r="AF506" s="1410"/>
      <c r="AG506" s="13" t="s">
        <v>403</v>
      </c>
      <c r="AH506" s="1430"/>
      <c r="AI506" s="1430"/>
      <c r="AJ506" s="1430"/>
      <c r="AK506" s="1431"/>
      <c r="AZ506" s="3"/>
      <c r="BA506" s="3"/>
      <c r="BB506" s="3"/>
      <c r="BC506" s="3"/>
      <c r="BD506" s="3"/>
      <c r="BE506" s="3"/>
      <c r="BF506" s="3"/>
      <c r="BG506" s="3"/>
      <c r="BH506" s="3"/>
      <c r="BI506" s="3"/>
      <c r="BJ506" s="3"/>
      <c r="BK506" s="3"/>
      <c r="BL506" s="3"/>
      <c r="BM506" s="3"/>
      <c r="BN506" s="3"/>
    </row>
    <row r="507" spans="1:66" ht="13" customHeight="1">
      <c r="B507" s="1419"/>
      <c r="C507" s="1420"/>
      <c r="D507" s="1420"/>
      <c r="E507" s="1420"/>
      <c r="F507" s="1420"/>
      <c r="G507" s="1420"/>
      <c r="H507" s="1421"/>
      <c r="I507" s="3" t="s">
        <v>413</v>
      </c>
      <c r="AC507" s="1390">
        <v>3</v>
      </c>
      <c r="AD507" s="1391"/>
      <c r="AE507" s="1391"/>
      <c r="AF507" s="1391"/>
      <c r="AG507" s="13" t="s">
        <v>403</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19"/>
      <c r="C508" s="1420"/>
      <c r="D508" s="1420"/>
      <c r="E508" s="1420"/>
      <c r="F508" s="1420"/>
      <c r="G508" s="1420"/>
      <c r="H508" s="1421"/>
      <c r="I508" s="896" t="s">
        <v>170</v>
      </c>
      <c r="J508" s="48"/>
      <c r="K508" s="48"/>
      <c r="L508" s="1460" t="s">
        <v>334</v>
      </c>
      <c r="M508" s="1461"/>
      <c r="N508" s="1461"/>
      <c r="O508" s="1461"/>
      <c r="P508" s="1461"/>
      <c r="Q508" s="1461"/>
      <c r="R508" s="1461"/>
      <c r="S508" s="1461"/>
      <c r="T508" s="1461"/>
      <c r="U508" s="1461"/>
      <c r="V508" s="1461"/>
      <c r="W508" s="1461"/>
      <c r="X508" s="1461"/>
      <c r="Y508" s="1461"/>
      <c r="Z508" s="1461"/>
      <c r="AA508" s="1461"/>
      <c r="AB508" s="1587"/>
      <c r="AC508" s="1409" t="s">
        <v>591</v>
      </c>
      <c r="AD508" s="1410"/>
      <c r="AE508" s="1410"/>
      <c r="AF508" s="1410"/>
      <c r="AG508" s="38" t="s">
        <v>403</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405" t="s">
        <v>1184</v>
      </c>
      <c r="AD509" s="1405"/>
      <c r="AE509" s="1405"/>
      <c r="AF509" s="1405"/>
      <c r="AG509" s="13"/>
      <c r="AH509" s="1425"/>
      <c r="AI509" s="1425"/>
      <c r="AJ509" s="1425"/>
      <c r="AK509" s="142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90"/>
      <c r="AD510" s="1391"/>
      <c r="AE510" s="1391"/>
      <c r="AF510" s="1392"/>
      <c r="AG510" s="13"/>
      <c r="AH510" s="1425"/>
      <c r="AI510" s="1425"/>
      <c r="AJ510" s="1425"/>
      <c r="AK510" s="142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41"/>
      <c r="AD512" s="1442"/>
      <c r="AE512" s="1442"/>
      <c r="AF512" s="1443"/>
      <c r="AG512" s="38"/>
      <c r="AH512" s="1596"/>
      <c r="AI512" s="1596"/>
      <c r="AJ512" s="1596"/>
      <c r="AK512" s="1597"/>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2" t="s">
        <v>402</v>
      </c>
      <c r="AD513" s="1585"/>
      <c r="AE513" s="1585"/>
      <c r="AF513" s="1585"/>
      <c r="AG513" s="38" t="s">
        <v>403</v>
      </c>
      <c r="AH513" s="1585" t="s">
        <v>404</v>
      </c>
      <c r="AI513" s="1585"/>
      <c r="AJ513" s="1585"/>
      <c r="AK513" s="1586"/>
      <c r="AZ513" s="3"/>
      <c r="BA513" s="3"/>
      <c r="BB513" s="3"/>
      <c r="BC513" s="3"/>
      <c r="BD513" s="3"/>
      <c r="BE513" s="3"/>
      <c r="BF513" s="3"/>
      <c r="BG513" s="3"/>
      <c r="BH513" s="3"/>
      <c r="BI513" s="3"/>
      <c r="BJ513" s="3"/>
      <c r="BK513" s="3"/>
      <c r="BL513" s="3"/>
      <c r="BM513" s="3"/>
      <c r="BN513" s="3" t="s">
        <v>2104</v>
      </c>
    </row>
    <row r="514" spans="2:66" ht="13" customHeight="1">
      <c r="B514" s="1416" t="s">
        <v>414</v>
      </c>
      <c r="C514" s="1417"/>
      <c r="D514" s="1417"/>
      <c r="E514" s="1417"/>
      <c r="F514" s="1417"/>
      <c r="G514" s="1417"/>
      <c r="H514" s="1418"/>
      <c r="I514" s="42" t="s">
        <v>415</v>
      </c>
      <c r="J514" s="42"/>
      <c r="K514" s="42"/>
      <c r="L514" s="42"/>
      <c r="M514" s="42"/>
      <c r="N514" s="42"/>
      <c r="O514" s="42"/>
      <c r="P514" s="42"/>
      <c r="Q514" s="42"/>
      <c r="R514" s="42"/>
      <c r="S514" s="42"/>
      <c r="T514" s="42"/>
      <c r="U514" s="42"/>
      <c r="V514" s="42"/>
      <c r="W514" s="42"/>
      <c r="AC514" s="1409">
        <v>8</v>
      </c>
      <c r="AD514" s="1410"/>
      <c r="AE514" s="1410"/>
      <c r="AF514" s="1410"/>
      <c r="AG514" s="13" t="s">
        <v>403</v>
      </c>
      <c r="AH514" s="1430">
        <v>2025</v>
      </c>
      <c r="AI514" s="1430"/>
      <c r="AJ514" s="1430"/>
      <c r="AK514" s="1431"/>
      <c r="AZ514" s="3"/>
      <c r="BA514" s="3"/>
      <c r="BB514" s="3"/>
      <c r="BC514" s="3"/>
      <c r="BD514" s="3"/>
      <c r="BE514" s="3"/>
      <c r="BF514" s="3"/>
      <c r="BG514" s="3"/>
      <c r="BH514" s="3"/>
      <c r="BI514" s="3"/>
      <c r="BJ514" s="3"/>
      <c r="BK514" s="3"/>
      <c r="BL514" s="3"/>
      <c r="BM514" s="3"/>
      <c r="BN514" s="3" t="s">
        <v>2105</v>
      </c>
    </row>
    <row r="515" spans="2:66" ht="13" customHeight="1">
      <c r="B515" s="1419"/>
      <c r="C515" s="1420"/>
      <c r="D515" s="1420"/>
      <c r="E515" s="1420"/>
      <c r="F515" s="1420"/>
      <c r="G515" s="1420"/>
      <c r="H515" s="1421"/>
      <c r="I515" t="s">
        <v>416</v>
      </c>
      <c r="AC515" s="1409">
        <v>8</v>
      </c>
      <c r="AD515" s="1410"/>
      <c r="AE515" s="1410"/>
      <c r="AF515" s="1410"/>
      <c r="AG515" s="13" t="s">
        <v>403</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3" customHeight="1">
      <c r="B516" s="1419"/>
      <c r="C516" s="1420"/>
      <c r="D516" s="1420"/>
      <c r="E516" s="1420"/>
      <c r="F516" s="1420"/>
      <c r="G516" s="1420"/>
      <c r="H516" s="1421"/>
      <c r="I516" s="48" t="s">
        <v>417</v>
      </c>
      <c r="J516" s="48"/>
      <c r="K516" s="48"/>
      <c r="L516" s="48"/>
      <c r="M516" s="48"/>
      <c r="N516" s="48"/>
      <c r="O516" s="48"/>
      <c r="P516" s="48"/>
      <c r="Q516" s="48"/>
      <c r="R516" s="48"/>
      <c r="S516" s="48"/>
      <c r="T516" s="48"/>
      <c r="U516" s="48"/>
      <c r="V516" s="48"/>
      <c r="W516" s="48"/>
      <c r="X516" s="48"/>
      <c r="Y516" s="48"/>
      <c r="Z516" s="48"/>
      <c r="AA516" s="48"/>
      <c r="AB516" s="48"/>
      <c r="AC516" s="1409">
        <v>3</v>
      </c>
      <c r="AD516" s="1410"/>
      <c r="AE516" s="1410"/>
      <c r="AF516" s="1410"/>
      <c r="AG516" s="38" t="s">
        <v>403</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3" customHeight="1">
      <c r="B517" s="1416" t="s">
        <v>418</v>
      </c>
      <c r="C517" s="1417"/>
      <c r="D517" s="1417"/>
      <c r="E517" s="1417"/>
      <c r="F517" s="1417"/>
      <c r="G517" s="1417"/>
      <c r="H517" s="1418"/>
      <c r="I517" s="42" t="s">
        <v>415</v>
      </c>
      <c r="J517" s="42"/>
      <c r="K517" s="42"/>
      <c r="L517" s="42"/>
      <c r="M517" s="42"/>
      <c r="N517" s="42"/>
      <c r="O517" s="42"/>
      <c r="P517" s="42"/>
      <c r="Q517" s="42"/>
      <c r="R517" s="42"/>
      <c r="S517" s="42"/>
      <c r="T517" s="42"/>
      <c r="U517" s="42"/>
      <c r="V517" s="42"/>
      <c r="W517" s="42"/>
      <c r="X517" s="42"/>
      <c r="Y517" s="42"/>
      <c r="Z517" s="42"/>
      <c r="AA517" s="42"/>
      <c r="AB517" s="42"/>
      <c r="AC517" s="1390">
        <v>8</v>
      </c>
      <c r="AD517" s="1391"/>
      <c r="AE517" s="1391"/>
      <c r="AF517" s="1391"/>
      <c r="AG517" s="129" t="s">
        <v>403</v>
      </c>
      <c r="AH517" s="1430">
        <v>2025</v>
      </c>
      <c r="AI517" s="1430"/>
      <c r="AJ517" s="1430"/>
      <c r="AK517" s="1431"/>
      <c r="AZ517" s="3"/>
      <c r="BB517" s="3"/>
      <c r="BC517" s="3"/>
      <c r="BD517" s="3"/>
      <c r="BE517" s="3"/>
      <c r="BF517" s="3"/>
      <c r="BG517" s="3"/>
      <c r="BH517" s="3"/>
      <c r="BI517" s="3"/>
      <c r="BJ517" s="3"/>
      <c r="BK517" s="3"/>
      <c r="BL517" s="3"/>
      <c r="BM517" s="3"/>
      <c r="BN517" s="3" t="s">
        <v>2108</v>
      </c>
    </row>
    <row r="518" spans="2:66" ht="13" customHeight="1">
      <c r="B518" s="1419"/>
      <c r="C518" s="1420"/>
      <c r="D518" s="1420"/>
      <c r="E518" s="1420"/>
      <c r="F518" s="1420"/>
      <c r="G518" s="1420"/>
      <c r="H518" s="1421"/>
      <c r="I518" t="s">
        <v>416</v>
      </c>
      <c r="AC518" s="1409">
        <v>8</v>
      </c>
      <c r="AD518" s="1410"/>
      <c r="AE518" s="1410"/>
      <c r="AF518" s="1410"/>
      <c r="AG518" s="13" t="s">
        <v>403</v>
      </c>
      <c r="AH518" s="1430">
        <v>2025</v>
      </c>
      <c r="AI518" s="1430"/>
      <c r="AJ518" s="1430"/>
      <c r="AK518" s="1431"/>
      <c r="BB518" s="3"/>
      <c r="BC518" s="3"/>
      <c r="BD518" s="3"/>
      <c r="BE518" s="3"/>
      <c r="BF518" s="3"/>
      <c r="BG518" s="3"/>
      <c r="BH518" s="3"/>
      <c r="BI518" s="3"/>
      <c r="BJ518" s="3"/>
      <c r="BK518" s="3"/>
      <c r="BL518" s="3"/>
      <c r="BM518" s="3"/>
      <c r="BN518" s="3" t="s">
        <v>2109</v>
      </c>
    </row>
    <row r="519" spans="2:66" ht="13" customHeight="1">
      <c r="B519" s="1422"/>
      <c r="C519" s="1423"/>
      <c r="D519" s="1423"/>
      <c r="E519" s="1423"/>
      <c r="F519" s="1423"/>
      <c r="G519" s="1423"/>
      <c r="H519" s="1424"/>
      <c r="I519" s="48" t="s">
        <v>417</v>
      </c>
      <c r="J519" s="48"/>
      <c r="K519" s="48"/>
      <c r="L519" s="48"/>
      <c r="M519" s="48"/>
      <c r="N519" s="48"/>
      <c r="O519" s="48"/>
      <c r="P519" s="48"/>
      <c r="Q519" s="48"/>
      <c r="R519" s="48"/>
      <c r="S519" s="48"/>
      <c r="T519" s="48"/>
      <c r="U519" s="48"/>
      <c r="V519" s="48"/>
      <c r="W519" s="48"/>
      <c r="X519" s="48"/>
      <c r="Y519" s="48"/>
      <c r="Z519" s="48"/>
      <c r="AA519" s="48"/>
      <c r="AB519" s="48"/>
      <c r="AC519" s="1409">
        <v>5</v>
      </c>
      <c r="AD519" s="1410"/>
      <c r="AE519" s="1410"/>
      <c r="AF519" s="1410"/>
      <c r="AG519" s="38" t="s">
        <v>403</v>
      </c>
      <c r="AH519" s="1430">
        <v>2028</v>
      </c>
      <c r="AI519" s="1430"/>
      <c r="AJ519" s="1430"/>
      <c r="AK519" s="1431"/>
      <c r="BB519" s="3"/>
      <c r="BC519" s="3"/>
      <c r="BD519" s="3"/>
      <c r="BE519" s="3"/>
      <c r="BF519" s="3"/>
      <c r="BG519" s="3"/>
      <c r="BH519" s="3"/>
      <c r="BI519" s="3"/>
      <c r="BJ519" s="3"/>
      <c r="BK519" s="3"/>
      <c r="BL519" s="3"/>
      <c r="BM519" s="3"/>
      <c r="BN519" s="3" t="s">
        <v>2110</v>
      </c>
    </row>
    <row r="520" spans="2:66" ht="13" customHeight="1">
      <c r="B520" s="1416" t="s">
        <v>419</v>
      </c>
      <c r="C520" s="1417"/>
      <c r="D520" s="1417"/>
      <c r="E520" s="1417"/>
      <c r="F520" s="1417"/>
      <c r="G520" s="1417"/>
      <c r="H520" s="1418"/>
      <c r="I520" s="41" t="s">
        <v>420</v>
      </c>
      <c r="J520" s="42"/>
      <c r="K520" s="42"/>
      <c r="L520" s="42"/>
      <c r="M520" s="42"/>
      <c r="N520" s="42"/>
      <c r="O520" s="1460" t="s">
        <v>334</v>
      </c>
      <c r="P520" s="1461"/>
      <c r="Q520" s="1461"/>
      <c r="R520" s="1461"/>
      <c r="S520" s="1461"/>
      <c r="T520" s="1461"/>
      <c r="U520" s="1461"/>
      <c r="V520" s="1461"/>
      <c r="W520" s="1461"/>
      <c r="X520" s="1461"/>
      <c r="Y520" s="1461"/>
      <c r="Z520" s="1461"/>
      <c r="AA520" s="1461"/>
      <c r="AB520" s="58"/>
      <c r="AC520" s="1390" t="s">
        <v>591</v>
      </c>
      <c r="AD520" s="1391"/>
      <c r="AE520" s="1391"/>
      <c r="AF520" s="1391"/>
      <c r="AG520" s="129" t="s">
        <v>403</v>
      </c>
      <c r="AH520" s="1430"/>
      <c r="AI520" s="1430"/>
      <c r="AJ520" s="1430"/>
      <c r="AK520" s="1431"/>
      <c r="AZ520" s="3"/>
      <c r="BB520" s="3"/>
      <c r="BC520" s="3"/>
      <c r="BD520" s="3"/>
      <c r="BE520" s="3"/>
      <c r="BF520" s="3"/>
      <c r="BG520" s="3"/>
      <c r="BH520" s="3"/>
      <c r="BI520" s="3"/>
      <c r="BJ520" s="3"/>
      <c r="BK520" s="3"/>
      <c r="BL520" s="3"/>
      <c r="BM520" s="3"/>
      <c r="BN520" s="3" t="s">
        <v>2111</v>
      </c>
    </row>
    <row r="521" spans="2:66" ht="13" customHeight="1">
      <c r="B521" s="1419"/>
      <c r="C521" s="1420"/>
      <c r="D521" s="1420"/>
      <c r="E521" s="1420"/>
      <c r="F521" s="1420"/>
      <c r="G521" s="1420"/>
      <c r="H521" s="1421"/>
      <c r="I521" s="114" t="s">
        <v>421</v>
      </c>
      <c r="AB521" s="65"/>
      <c r="AC521" s="1409" t="s">
        <v>591</v>
      </c>
      <c r="AD521" s="1410"/>
      <c r="AE521" s="1410"/>
      <c r="AF521" s="1410"/>
      <c r="AG521" s="13" t="s">
        <v>403</v>
      </c>
      <c r="AH521" s="1430"/>
      <c r="AI521" s="1430"/>
      <c r="AJ521" s="1430"/>
      <c r="AK521" s="1431"/>
      <c r="AZ521" s="3"/>
      <c r="BB521" s="3"/>
      <c r="BC521" s="3"/>
      <c r="BD521" s="3"/>
      <c r="BE521" s="3"/>
      <c r="BF521" s="3"/>
      <c r="BG521" s="3"/>
      <c r="BH521" s="3"/>
      <c r="BI521" s="3"/>
      <c r="BJ521" s="3"/>
      <c r="BK521" s="3"/>
      <c r="BL521" s="3"/>
      <c r="BM521" s="3"/>
      <c r="BN521" s="3" t="s">
        <v>2112</v>
      </c>
    </row>
    <row r="522" spans="2:66" ht="13" customHeight="1">
      <c r="B522" s="1419"/>
      <c r="C522" s="1420"/>
      <c r="D522" s="1420"/>
      <c r="E522" s="1420"/>
      <c r="F522" s="1420"/>
      <c r="G522" s="1420"/>
      <c r="H522" s="1421"/>
      <c r="I522" s="47" t="s">
        <v>422</v>
      </c>
      <c r="J522" s="48"/>
      <c r="K522" s="48"/>
      <c r="L522" s="48"/>
      <c r="M522" s="48"/>
      <c r="N522" s="48"/>
      <c r="O522" s="48"/>
      <c r="P522" s="48"/>
      <c r="Q522" s="48"/>
      <c r="R522" s="48"/>
      <c r="S522" s="48"/>
      <c r="T522" s="48"/>
      <c r="U522" s="48"/>
      <c r="V522" s="48"/>
      <c r="W522" s="48"/>
      <c r="X522" s="48"/>
      <c r="Y522" s="48"/>
      <c r="Z522" s="48"/>
      <c r="AA522" s="48"/>
      <c r="AB522" s="49"/>
      <c r="AC522" s="1409" t="s">
        <v>591</v>
      </c>
      <c r="AD522" s="1410"/>
      <c r="AE522" s="1410"/>
      <c r="AF522" s="1410"/>
      <c r="AG522" s="38" t="s">
        <v>403</v>
      </c>
      <c r="AH522" s="1430"/>
      <c r="AI522" s="1430"/>
      <c r="AJ522" s="1430"/>
      <c r="AK522" s="1431"/>
      <c r="AZ522" s="3"/>
      <c r="BA522" s="3"/>
      <c r="BB522" s="3"/>
      <c r="BC522" s="3"/>
      <c r="BD522" s="3"/>
      <c r="BE522" s="3"/>
      <c r="BF522" s="3"/>
      <c r="BG522" s="3"/>
      <c r="BH522" s="3"/>
      <c r="BI522" s="3"/>
      <c r="BJ522" s="3"/>
      <c r="BK522" s="3"/>
      <c r="BL522" s="3"/>
      <c r="BM522" s="3"/>
      <c r="BN522" s="3" t="s">
        <v>2113</v>
      </c>
    </row>
    <row r="523" spans="2:66" ht="13" customHeight="1">
      <c r="B523" s="1419"/>
      <c r="C523" s="1420"/>
      <c r="D523" s="1420"/>
      <c r="E523" s="1420"/>
      <c r="F523" s="1420"/>
      <c r="G523" s="1420"/>
      <c r="H523" s="1421"/>
      <c r="I523" s="42" t="s">
        <v>423</v>
      </c>
      <c r="J523" s="42"/>
      <c r="K523" s="42"/>
      <c r="L523" s="42"/>
      <c r="M523" s="42"/>
      <c r="N523" s="42"/>
      <c r="O523" s="1460" t="s">
        <v>334</v>
      </c>
      <c r="P523" s="1461"/>
      <c r="Q523" s="1461"/>
      <c r="R523" s="1461"/>
      <c r="S523" s="1461"/>
      <c r="T523" s="1461"/>
      <c r="U523" s="1461"/>
      <c r="V523" s="1461"/>
      <c r="W523" s="1461"/>
      <c r="X523" s="1461"/>
      <c r="Y523" s="1461"/>
      <c r="Z523" s="1461"/>
      <c r="AA523" s="1461"/>
      <c r="AC523" s="1409" t="s">
        <v>591</v>
      </c>
      <c r="AD523" s="1410"/>
      <c r="AE523" s="1410"/>
      <c r="AF523" s="1410"/>
      <c r="AG523" s="13" t="s">
        <v>403</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3" customHeight="1">
      <c r="B524" s="1419"/>
      <c r="C524" s="1420"/>
      <c r="D524" s="1420"/>
      <c r="E524" s="1420"/>
      <c r="F524" s="1420"/>
      <c r="G524" s="1420"/>
      <c r="H524" s="1421"/>
      <c r="I524" t="s">
        <v>421</v>
      </c>
      <c r="AC524" s="1409" t="s">
        <v>591</v>
      </c>
      <c r="AD524" s="1410"/>
      <c r="AE524" s="1410"/>
      <c r="AF524" s="1410"/>
      <c r="AG524" s="13" t="s">
        <v>403</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3" customHeight="1">
      <c r="B525" s="1419"/>
      <c r="C525" s="1420"/>
      <c r="D525" s="1420"/>
      <c r="E525" s="1420"/>
      <c r="F525" s="1420"/>
      <c r="G525" s="1420"/>
      <c r="H525" s="1421"/>
      <c r="I525" s="48" t="s">
        <v>422</v>
      </c>
      <c r="J525" s="48"/>
      <c r="K525" s="48"/>
      <c r="L525" s="48"/>
      <c r="M525" s="48"/>
      <c r="N525" s="48"/>
      <c r="O525" s="48"/>
      <c r="P525" s="48"/>
      <c r="Q525" s="48"/>
      <c r="R525" s="48"/>
      <c r="S525" s="48"/>
      <c r="T525" s="48"/>
      <c r="U525" s="48"/>
      <c r="V525" s="48"/>
      <c r="W525" s="48"/>
      <c r="X525" s="48"/>
      <c r="Y525" s="48"/>
      <c r="Z525" s="48"/>
      <c r="AA525" s="48"/>
      <c r="AB525" s="48"/>
      <c r="AC525" s="1409" t="s">
        <v>591</v>
      </c>
      <c r="AD525" s="1410"/>
      <c r="AE525" s="1410"/>
      <c r="AF525" s="1410"/>
      <c r="AG525" s="38" t="s">
        <v>403</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3" customHeight="1">
      <c r="B526" s="1419"/>
      <c r="C526" s="1420"/>
      <c r="D526" s="1420"/>
      <c r="E526" s="1420"/>
      <c r="F526" s="1420"/>
      <c r="G526" s="1420"/>
      <c r="H526" s="1421"/>
      <c r="I526" s="42" t="s">
        <v>423</v>
      </c>
      <c r="J526" s="42"/>
      <c r="K526" s="42"/>
      <c r="L526" s="42"/>
      <c r="M526" s="42"/>
      <c r="N526" s="42"/>
      <c r="O526" s="1460" t="s">
        <v>334</v>
      </c>
      <c r="P526" s="1461"/>
      <c r="Q526" s="1461"/>
      <c r="R526" s="1461"/>
      <c r="S526" s="1461"/>
      <c r="T526" s="1461"/>
      <c r="U526" s="1461"/>
      <c r="V526" s="1461"/>
      <c r="W526" s="1461"/>
      <c r="X526" s="1461"/>
      <c r="Y526" s="1461"/>
      <c r="Z526" s="1461"/>
      <c r="AA526" s="1461"/>
      <c r="AC526" s="1409" t="s">
        <v>591</v>
      </c>
      <c r="AD526" s="1410"/>
      <c r="AE526" s="1410"/>
      <c r="AF526" s="1410"/>
      <c r="AG526" s="13" t="s">
        <v>403</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3" customHeight="1">
      <c r="B527" s="1419"/>
      <c r="C527" s="1420"/>
      <c r="D527" s="1420"/>
      <c r="E527" s="1420"/>
      <c r="F527" s="1420"/>
      <c r="G527" s="1420"/>
      <c r="H527" s="1421"/>
      <c r="I527" t="s">
        <v>421</v>
      </c>
      <c r="AC527" s="1409" t="s">
        <v>591</v>
      </c>
      <c r="AD527" s="1410"/>
      <c r="AE527" s="1410"/>
      <c r="AF527" s="1410"/>
      <c r="AG527" s="13" t="s">
        <v>403</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3" customHeight="1">
      <c r="B528" s="1419"/>
      <c r="C528" s="1420"/>
      <c r="D528" s="1420"/>
      <c r="E528" s="1420"/>
      <c r="F528" s="1420"/>
      <c r="G528" s="1420"/>
      <c r="H528" s="1421"/>
      <c r="I528" s="48" t="s">
        <v>422</v>
      </c>
      <c r="J528" s="48"/>
      <c r="K528" s="48"/>
      <c r="L528" s="48"/>
      <c r="M528" s="48"/>
      <c r="N528" s="48"/>
      <c r="O528" s="48"/>
      <c r="P528" s="48"/>
      <c r="Q528" s="48"/>
      <c r="R528" s="48"/>
      <c r="S528" s="48"/>
      <c r="T528" s="48"/>
      <c r="U528" s="48"/>
      <c r="V528" s="48"/>
      <c r="W528" s="48"/>
      <c r="X528" s="48"/>
      <c r="Y528" s="48"/>
      <c r="Z528" s="48"/>
      <c r="AA528" s="48"/>
      <c r="AB528" s="48"/>
      <c r="AC528" s="1409" t="s">
        <v>591</v>
      </c>
      <c r="AD528" s="1410"/>
      <c r="AE528" s="1410"/>
      <c r="AF528" s="1410"/>
      <c r="AG528" s="38" t="s">
        <v>403</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3" customHeight="1">
      <c r="B529" s="1419"/>
      <c r="C529" s="1420"/>
      <c r="D529" s="1420"/>
      <c r="E529" s="1420"/>
      <c r="F529" s="1420"/>
      <c r="G529" s="1420"/>
      <c r="H529" s="1421"/>
      <c r="I529" s="42" t="s">
        <v>423</v>
      </c>
      <c r="J529" s="42"/>
      <c r="K529" s="42"/>
      <c r="L529" s="42"/>
      <c r="M529" s="42"/>
      <c r="N529" s="42"/>
      <c r="O529" s="1460" t="s">
        <v>334</v>
      </c>
      <c r="P529" s="1461"/>
      <c r="Q529" s="1461"/>
      <c r="R529" s="1461"/>
      <c r="S529" s="1461"/>
      <c r="T529" s="1461"/>
      <c r="U529" s="1461"/>
      <c r="V529" s="1461"/>
      <c r="W529" s="1461"/>
      <c r="X529" s="1461"/>
      <c r="Y529" s="1461"/>
      <c r="Z529" s="1461"/>
      <c r="AA529" s="1461"/>
      <c r="AC529" s="1409" t="s">
        <v>591</v>
      </c>
      <c r="AD529" s="1410"/>
      <c r="AE529" s="1410"/>
      <c r="AF529" s="1410"/>
      <c r="AG529" s="13" t="s">
        <v>403</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3" customHeight="1">
      <c r="B530" s="1419"/>
      <c r="C530" s="1420"/>
      <c r="D530" s="1420"/>
      <c r="E530" s="1420"/>
      <c r="F530" s="1420"/>
      <c r="G530" s="1420"/>
      <c r="H530" s="1421"/>
      <c r="I530" t="s">
        <v>421</v>
      </c>
      <c r="AC530" s="1409" t="s">
        <v>591</v>
      </c>
      <c r="AD530" s="1410"/>
      <c r="AE530" s="1410"/>
      <c r="AF530" s="1410"/>
      <c r="AG530" s="13" t="s">
        <v>403</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3" customHeight="1">
      <c r="B531" s="1419"/>
      <c r="C531" s="1420"/>
      <c r="D531" s="1420"/>
      <c r="E531" s="1420"/>
      <c r="F531" s="1420"/>
      <c r="G531" s="1420"/>
      <c r="H531" s="1421"/>
      <c r="I531" s="48" t="s">
        <v>422</v>
      </c>
      <c r="J531" s="48"/>
      <c r="K531" s="48"/>
      <c r="L531" s="48"/>
      <c r="M531" s="48"/>
      <c r="N531" s="48"/>
      <c r="O531" s="48"/>
      <c r="P531" s="48"/>
      <c r="Q531" s="48"/>
      <c r="R531" s="48"/>
      <c r="S531" s="48"/>
      <c r="T531" s="48"/>
      <c r="U531" s="48"/>
      <c r="V531" s="48"/>
      <c r="W531" s="48"/>
      <c r="X531" s="48"/>
      <c r="Y531" s="48"/>
      <c r="Z531" s="48"/>
      <c r="AA531" s="48"/>
      <c r="AB531" s="48"/>
      <c r="AC531" s="1409" t="s">
        <v>591</v>
      </c>
      <c r="AD531" s="1410"/>
      <c r="AE531" s="1410"/>
      <c r="AF531" s="1410"/>
      <c r="AG531" s="38" t="s">
        <v>403</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3" customHeight="1">
      <c r="B532" s="1419"/>
      <c r="C532" s="1420"/>
      <c r="D532" s="1420"/>
      <c r="E532" s="1420"/>
      <c r="F532" s="1420"/>
      <c r="G532" s="1420"/>
      <c r="H532" s="1421"/>
      <c r="I532" s="42" t="s">
        <v>423</v>
      </c>
      <c r="J532" s="42"/>
      <c r="K532" s="42"/>
      <c r="L532" s="42"/>
      <c r="M532" s="42"/>
      <c r="N532" s="42"/>
      <c r="O532" s="1460" t="s">
        <v>334</v>
      </c>
      <c r="P532" s="1461"/>
      <c r="Q532" s="1461"/>
      <c r="R532" s="1461"/>
      <c r="S532" s="1461"/>
      <c r="T532" s="1461"/>
      <c r="U532" s="1461"/>
      <c r="V532" s="1461"/>
      <c r="W532" s="1461"/>
      <c r="X532" s="1461"/>
      <c r="Y532" s="1461"/>
      <c r="Z532" s="1461"/>
      <c r="AA532" s="1461"/>
      <c r="AC532" s="1409" t="s">
        <v>591</v>
      </c>
      <c r="AD532" s="1410"/>
      <c r="AE532" s="1410"/>
      <c r="AF532" s="1410"/>
      <c r="AG532" s="13" t="s">
        <v>403</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3" customHeight="1">
      <c r="B533" s="1419"/>
      <c r="C533" s="1420"/>
      <c r="D533" s="1420"/>
      <c r="E533" s="1420"/>
      <c r="F533" s="1420"/>
      <c r="G533" s="1420"/>
      <c r="H533" s="1421"/>
      <c r="I533" t="s">
        <v>421</v>
      </c>
      <c r="AC533" s="1409" t="s">
        <v>591</v>
      </c>
      <c r="AD533" s="1410"/>
      <c r="AE533" s="1410"/>
      <c r="AF533" s="1410"/>
      <c r="AG533" s="38" t="s">
        <v>403</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3" customHeight="1">
      <c r="B534" s="1419"/>
      <c r="C534" s="1420"/>
      <c r="D534" s="1420"/>
      <c r="E534" s="1420"/>
      <c r="F534" s="1420"/>
      <c r="G534" s="1420"/>
      <c r="H534" s="1421"/>
      <c r="I534" s="48" t="s">
        <v>422</v>
      </c>
      <c r="J534" s="48"/>
      <c r="K534" s="48"/>
      <c r="L534" s="48"/>
      <c r="M534" s="48"/>
      <c r="N534" s="48"/>
      <c r="O534" s="48"/>
      <c r="P534" s="48"/>
      <c r="Q534" s="48"/>
      <c r="R534" s="48"/>
      <c r="S534" s="48"/>
      <c r="T534" s="48"/>
      <c r="U534" s="48"/>
      <c r="V534" s="48"/>
      <c r="W534" s="48"/>
      <c r="X534" s="48"/>
      <c r="Y534" s="48"/>
      <c r="Z534" s="48"/>
      <c r="AA534" s="48"/>
      <c r="AB534" s="48"/>
      <c r="AC534" s="1409" t="s">
        <v>591</v>
      </c>
      <c r="AD534" s="1410"/>
      <c r="AE534" s="1410"/>
      <c r="AF534" s="1410"/>
      <c r="AG534" s="13" t="s">
        <v>403</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3" customHeight="1">
      <c r="B535" s="1419"/>
      <c r="C535" s="1420"/>
      <c r="D535" s="1420"/>
      <c r="E535" s="1420"/>
      <c r="F535" s="1420"/>
      <c r="G535" s="1420"/>
      <c r="H535" s="1421"/>
      <c r="I535" s="42" t="s">
        <v>423</v>
      </c>
      <c r="J535" s="42"/>
      <c r="K535" s="42"/>
      <c r="L535" s="42"/>
      <c r="M535" s="42"/>
      <c r="N535" s="42"/>
      <c r="O535" s="1460" t="s">
        <v>334</v>
      </c>
      <c r="P535" s="1461"/>
      <c r="Q535" s="1461"/>
      <c r="R535" s="1461"/>
      <c r="S535" s="1461"/>
      <c r="T535" s="1461"/>
      <c r="U535" s="1461"/>
      <c r="V535" s="1461"/>
      <c r="W535" s="1461"/>
      <c r="X535" s="1461"/>
      <c r="Y535" s="1461"/>
      <c r="Z535" s="1461"/>
      <c r="AA535" s="1461"/>
      <c r="AC535" s="1409" t="s">
        <v>591</v>
      </c>
      <c r="AD535" s="1410"/>
      <c r="AE535" s="1410"/>
      <c r="AF535" s="1410"/>
      <c r="AG535" s="38" t="s">
        <v>403</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3" customHeight="1">
      <c r="B536" s="1419"/>
      <c r="C536" s="1420"/>
      <c r="D536" s="1420"/>
      <c r="E536" s="1420"/>
      <c r="F536" s="1420"/>
      <c r="G536" s="1420"/>
      <c r="H536" s="1421"/>
      <c r="I536" t="s">
        <v>421</v>
      </c>
      <c r="AC536" s="1409" t="s">
        <v>591</v>
      </c>
      <c r="AD536" s="1410"/>
      <c r="AE536" s="1410"/>
      <c r="AF536" s="1410"/>
      <c r="AG536" s="13" t="s">
        <v>403</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3" customHeight="1">
      <c r="B537" s="1419"/>
      <c r="C537" s="1420"/>
      <c r="D537" s="1420"/>
      <c r="E537" s="1420"/>
      <c r="F537" s="1420"/>
      <c r="G537" s="1420"/>
      <c r="H537" s="1421"/>
      <c r="I537" s="48" t="s">
        <v>422</v>
      </c>
      <c r="J537" s="48"/>
      <c r="K537" s="48"/>
      <c r="L537" s="48"/>
      <c r="M537" s="48"/>
      <c r="N537" s="48"/>
      <c r="O537" s="48"/>
      <c r="P537" s="48"/>
      <c r="Q537" s="48"/>
      <c r="R537" s="48"/>
      <c r="S537" s="48"/>
      <c r="T537" s="48"/>
      <c r="U537" s="48"/>
      <c r="V537" s="48"/>
      <c r="W537" s="48"/>
      <c r="X537" s="48"/>
      <c r="Y537" s="48"/>
      <c r="Z537" s="48"/>
      <c r="AA537" s="48"/>
      <c r="AB537" s="48"/>
      <c r="AC537" s="1409" t="s">
        <v>591</v>
      </c>
      <c r="AD537" s="1410"/>
      <c r="AE537" s="1410"/>
      <c r="AF537" s="1410"/>
      <c r="AG537" s="38" t="s">
        <v>403</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3" customHeight="1">
      <c r="B538" s="1419"/>
      <c r="C538" s="1420"/>
      <c r="D538" s="1420"/>
      <c r="E538" s="1420"/>
      <c r="F538" s="1420"/>
      <c r="G538" s="1420"/>
      <c r="H538" s="1421"/>
      <c r="I538" s="42" t="s">
        <v>562</v>
      </c>
      <c r="J538" s="42"/>
      <c r="K538" s="42"/>
      <c r="L538" s="42"/>
      <c r="M538" s="42"/>
      <c r="N538" s="42"/>
      <c r="O538" s="42"/>
      <c r="P538" s="42"/>
      <c r="Q538" s="42"/>
      <c r="R538" s="42"/>
      <c r="S538" s="42"/>
      <c r="T538" s="42"/>
      <c r="U538" s="42"/>
      <c r="V538" s="42"/>
      <c r="W538" s="42"/>
      <c r="AC538" s="1409">
        <v>10</v>
      </c>
      <c r="AD538" s="1410"/>
      <c r="AE538" s="1410"/>
      <c r="AF538" s="1410"/>
      <c r="AG538" s="38" t="s">
        <v>403</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19"/>
      <c r="C539" s="1420"/>
      <c r="D539" s="1420"/>
      <c r="E539" s="1420"/>
      <c r="F539" s="1420"/>
      <c r="G539" s="1420"/>
      <c r="H539" s="1421"/>
      <c r="I539" t="s">
        <v>563</v>
      </c>
      <c r="AC539" s="1409">
        <v>3</v>
      </c>
      <c r="AD539" s="1410"/>
      <c r="AE539" s="1410"/>
      <c r="AF539" s="1410"/>
      <c r="AG539" s="13" t="s">
        <v>403</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19"/>
      <c r="C540" s="1420"/>
      <c r="D540" s="1420"/>
      <c r="E540" s="1420"/>
      <c r="F540" s="1420"/>
      <c r="G540" s="1420"/>
      <c r="H540" s="1421"/>
      <c r="I540" t="s">
        <v>564</v>
      </c>
      <c r="AC540" s="1409">
        <v>11</v>
      </c>
      <c r="AD540" s="1410"/>
      <c r="AE540" s="1410"/>
      <c r="AF540" s="1410"/>
      <c r="AG540" s="38" t="s">
        <v>403</v>
      </c>
      <c r="AH540" s="1430">
        <v>2027</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19"/>
      <c r="C541" s="1420"/>
      <c r="D541" s="1420"/>
      <c r="E541" s="1420"/>
      <c r="F541" s="1420"/>
      <c r="G541" s="1420"/>
      <c r="H541" s="1421"/>
      <c r="I541" t="s">
        <v>565</v>
      </c>
      <c r="AC541" s="1409">
        <v>11</v>
      </c>
      <c r="AD541" s="1410"/>
      <c r="AE541" s="1410"/>
      <c r="AF541" s="1410"/>
      <c r="AG541" s="38" t="s">
        <v>403</v>
      </c>
      <c r="AH541" s="1430">
        <v>2027</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22"/>
      <c r="C542" s="1423"/>
      <c r="D542" s="1423"/>
      <c r="E542" s="1423"/>
      <c r="F542" s="1423"/>
      <c r="G542" s="1423"/>
      <c r="H542" s="1424"/>
      <c r="I542" s="48" t="s">
        <v>451</v>
      </c>
      <c r="J542" s="48"/>
      <c r="K542" s="48"/>
      <c r="L542" s="48"/>
      <c r="M542" s="48"/>
      <c r="N542" s="48"/>
      <c r="O542" s="48"/>
      <c r="P542" s="48"/>
      <c r="Q542" s="48"/>
      <c r="R542" s="48"/>
      <c r="S542" s="48"/>
      <c r="T542" s="48"/>
      <c r="U542" s="48"/>
      <c r="V542" s="48"/>
      <c r="W542" s="48"/>
      <c r="X542" s="48"/>
      <c r="Y542" s="48"/>
      <c r="Z542" s="48"/>
      <c r="AA542" s="48"/>
      <c r="AB542" s="48"/>
      <c r="AC542" s="1409">
        <v>2</v>
      </c>
      <c r="AD542" s="1410"/>
      <c r="AE542" s="1410"/>
      <c r="AF542" s="1410"/>
      <c r="AG542" s="38" t="s">
        <v>403</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416" t="s">
        <v>2102</v>
      </c>
      <c r="C551" s="1417"/>
      <c r="D551" s="1417"/>
      <c r="E551" s="1417"/>
      <c r="F551" s="1417"/>
      <c r="G551" s="1417"/>
      <c r="H551" s="1417"/>
      <c r="I551" s="1417"/>
      <c r="J551" s="1417"/>
      <c r="K551" s="1417"/>
      <c r="L551" s="1418"/>
      <c r="M551" s="1416" t="s">
        <v>2103</v>
      </c>
      <c r="N551" s="1417"/>
      <c r="O551" s="1417"/>
      <c r="P551" s="1418"/>
      <c r="Q551" s="1416" t="s">
        <v>2129</v>
      </c>
      <c r="R551" s="1417"/>
      <c r="S551" s="1418"/>
      <c r="T551" s="1416" t="s">
        <v>2130</v>
      </c>
      <c r="U551" s="1417"/>
      <c r="V551" s="1418"/>
      <c r="W551" s="1416" t="s">
        <v>453</v>
      </c>
      <c r="X551" s="1417"/>
      <c r="Y551" s="1418"/>
      <c r="Z551" s="1416" t="s">
        <v>1851</v>
      </c>
      <c r="AA551" s="1417"/>
      <c r="AB551" s="1417"/>
      <c r="AC551" s="1417"/>
      <c r="AD551" s="1418"/>
      <c r="AE551" s="1416" t="s">
        <v>1676</v>
      </c>
      <c r="AF551" s="1417"/>
      <c r="AG551" s="1417"/>
      <c r="AH551" s="1418"/>
      <c r="AI551" s="1416" t="s">
        <v>1677</v>
      </c>
      <c r="AJ551" s="1417"/>
      <c r="AK551" s="1417"/>
      <c r="AL551" s="1418"/>
      <c r="AM551" s="1416" t="s">
        <v>454</v>
      </c>
      <c r="AN551" s="1417"/>
      <c r="AO551" s="1417"/>
      <c r="AP551" s="1417"/>
      <c r="AQ551" s="1417"/>
      <c r="AR551" s="1417"/>
      <c r="AS551" s="1418"/>
      <c r="BB551" s="3"/>
      <c r="BC551" s="3"/>
      <c r="BD551" s="3"/>
      <c r="BE551" s="3"/>
      <c r="BF551" s="3"/>
      <c r="BG551" s="3"/>
      <c r="BH551" s="3" t="s">
        <v>581</v>
      </c>
      <c r="BI551" s="3" t="str">
        <f>AG657</f>
        <v>No</v>
      </c>
    </row>
    <row r="552" spans="1:61" ht="13" customHeight="1">
      <c r="B552" s="1419"/>
      <c r="C552" s="1420"/>
      <c r="D552" s="1420"/>
      <c r="E552" s="1420"/>
      <c r="F552" s="1420"/>
      <c r="G552" s="1420"/>
      <c r="H552" s="1420"/>
      <c r="I552" s="1420"/>
      <c r="J552" s="1420"/>
      <c r="K552" s="1420"/>
      <c r="L552" s="1421"/>
      <c r="M552" s="1419"/>
      <c r="N552" s="1420"/>
      <c r="O552" s="1420"/>
      <c r="P552" s="1421"/>
      <c r="Q552" s="1419"/>
      <c r="R552" s="1420"/>
      <c r="S552" s="1421"/>
      <c r="T552" s="1419"/>
      <c r="U552" s="1420"/>
      <c r="V552" s="1421"/>
      <c r="W552" s="1419"/>
      <c r="X552" s="1420"/>
      <c r="Y552" s="1421"/>
      <c r="Z552" s="1419"/>
      <c r="AA552" s="1420"/>
      <c r="AB552" s="1420"/>
      <c r="AC552" s="1420"/>
      <c r="AD552" s="1421"/>
      <c r="AE552" s="1419"/>
      <c r="AF552" s="1420"/>
      <c r="AG552" s="1420"/>
      <c r="AH552" s="1421"/>
      <c r="AI552" s="1419"/>
      <c r="AJ552" s="1420"/>
      <c r="AK552" s="1420"/>
      <c r="AL552" s="1421"/>
      <c r="AM552" s="1419"/>
      <c r="AN552" s="1420"/>
      <c r="AO552" s="1420"/>
      <c r="AP552" s="1420"/>
      <c r="AQ552" s="1420"/>
      <c r="AR552" s="1420"/>
      <c r="AS552" s="1421"/>
      <c r="AU552" s="1147"/>
      <c r="BB552" s="3"/>
      <c r="BC552" s="3"/>
      <c r="BD552" s="3"/>
      <c r="BE552" s="3"/>
      <c r="BF552" s="3"/>
      <c r="BG552" s="3"/>
      <c r="BH552" s="3"/>
      <c r="BI552" s="3"/>
    </row>
    <row r="553" spans="1:61" ht="13" customHeight="1">
      <c r="B553" s="1422"/>
      <c r="C553" s="1423"/>
      <c r="D553" s="1423"/>
      <c r="E553" s="1423"/>
      <c r="F553" s="1423"/>
      <c r="G553" s="1423"/>
      <c r="H553" s="1423"/>
      <c r="I553" s="1423"/>
      <c r="J553" s="1423"/>
      <c r="K553" s="1423"/>
      <c r="L553" s="1424"/>
      <c r="M553" s="1422"/>
      <c r="N553" s="1423"/>
      <c r="O553" s="1423"/>
      <c r="P553" s="1424"/>
      <c r="Q553" s="1422"/>
      <c r="R553" s="1423"/>
      <c r="S553" s="1424"/>
      <c r="T553" s="1422"/>
      <c r="U553" s="1423"/>
      <c r="V553" s="1424"/>
      <c r="W553" s="1422"/>
      <c r="X553" s="1423"/>
      <c r="Y553" s="1424"/>
      <c r="Z553" s="1422"/>
      <c r="AA553" s="1423"/>
      <c r="AB553" s="1423"/>
      <c r="AC553" s="1423"/>
      <c r="AD553" s="1424"/>
      <c r="AE553" s="1422"/>
      <c r="AF553" s="1423"/>
      <c r="AG553" s="1423"/>
      <c r="AH553" s="1424"/>
      <c r="AI553" s="1422"/>
      <c r="AJ553" s="1423"/>
      <c r="AK553" s="1423"/>
      <c r="AL553" s="1424"/>
      <c r="AM553" s="1422"/>
      <c r="AN553" s="1423"/>
      <c r="AO553" s="1423"/>
      <c r="AP553" s="1423"/>
      <c r="AQ553" s="1423"/>
      <c r="AR553" s="1423"/>
      <c r="AS553" s="1424"/>
      <c r="AU553" s="1147"/>
      <c r="BB553" s="3"/>
      <c r="BC553" s="3"/>
      <c r="BD553" s="3"/>
      <c r="BE553" s="3"/>
      <c r="BF553" s="3"/>
      <c r="BG553" s="3"/>
      <c r="BH553" s="3"/>
      <c r="BI553" s="3"/>
    </row>
    <row r="554" spans="1:61" ht="13" customHeight="1">
      <c r="B554" s="51" t="s">
        <v>112</v>
      </c>
      <c r="C554" s="1457" t="s">
        <v>2722</v>
      </c>
      <c r="D554" s="1457"/>
      <c r="E554" s="1457"/>
      <c r="F554" s="1457"/>
      <c r="G554" s="1457"/>
      <c r="H554" s="1457"/>
      <c r="I554" s="1457"/>
      <c r="J554" s="1457"/>
      <c r="K554" s="1457"/>
      <c r="L554" s="1457"/>
      <c r="M554" s="1457" t="s">
        <v>2119</v>
      </c>
      <c r="N554" s="1457"/>
      <c r="O554" s="1457"/>
      <c r="P554" s="1457"/>
      <c r="Q554" s="1484">
        <v>36</v>
      </c>
      <c r="R554" s="1484"/>
      <c r="S554" s="1485"/>
      <c r="T554" s="1483"/>
      <c r="U554" s="1484"/>
      <c r="V554" s="1485"/>
      <c r="W554" s="1473">
        <v>4.3999999999999997E-2</v>
      </c>
      <c r="X554" s="1474"/>
      <c r="Y554" s="1475"/>
      <c r="Z554" s="1440" t="s">
        <v>2731</v>
      </c>
      <c r="AA554" s="1440"/>
      <c r="AB554" s="1440"/>
      <c r="AC554" s="1440"/>
      <c r="AD554" s="1440"/>
      <c r="AE554" s="1480">
        <v>1</v>
      </c>
      <c r="AF554" s="1481"/>
      <c r="AG554" s="1481"/>
      <c r="AH554" s="1482"/>
      <c r="AI554" s="1477"/>
      <c r="AJ554" s="1478"/>
      <c r="AK554" s="1478"/>
      <c r="AL554" s="1479"/>
      <c r="AM554" s="1495">
        <v>24000000</v>
      </c>
      <c r="AN554" s="1496"/>
      <c r="AO554" s="1496"/>
      <c r="AP554" s="1496"/>
      <c r="AQ554" s="1496"/>
      <c r="AR554" s="1496"/>
      <c r="AS554" s="1497"/>
      <c r="AT554" s="1148"/>
      <c r="AU554" s="1147"/>
      <c r="BB554" s="3"/>
      <c r="BC554" s="3"/>
      <c r="BD554" s="3"/>
      <c r="BE554" s="3"/>
      <c r="BF554" s="3"/>
      <c r="BG554" s="3"/>
      <c r="BH554" s="3"/>
      <c r="BI554" s="3"/>
    </row>
    <row r="555" spans="1:61" ht="13" customHeight="1">
      <c r="B555" s="52" t="s">
        <v>113</v>
      </c>
      <c r="C555" s="1667" t="s">
        <v>2722</v>
      </c>
      <c r="D555" s="1667"/>
      <c r="E555" s="1667"/>
      <c r="F555" s="1667"/>
      <c r="G555" s="1667"/>
      <c r="H555" s="1667"/>
      <c r="I555" s="1667"/>
      <c r="J555" s="1667"/>
      <c r="K555" s="1667"/>
      <c r="L555" s="1667"/>
      <c r="M555" s="1457" t="s">
        <v>2120</v>
      </c>
      <c r="N555" s="1457"/>
      <c r="O555" s="1457"/>
      <c r="P555" s="1457"/>
      <c r="Q555" s="1483">
        <v>36</v>
      </c>
      <c r="R555" s="1484"/>
      <c r="S555" s="1485"/>
      <c r="T555" s="1483"/>
      <c r="U555" s="1484"/>
      <c r="V555" s="1485"/>
      <c r="W555" s="1473">
        <v>4.3999999999999997E-2</v>
      </c>
      <c r="X555" s="1474"/>
      <c r="Y555" s="1475"/>
      <c r="Z555" s="1440" t="s">
        <v>2731</v>
      </c>
      <c r="AA555" s="1440"/>
      <c r="AB555" s="1440"/>
      <c r="AC555" s="1440"/>
      <c r="AD555" s="1440"/>
      <c r="AE555" s="1480">
        <v>1</v>
      </c>
      <c r="AF555" s="1481"/>
      <c r="AG555" s="1481"/>
      <c r="AH555" s="1482"/>
      <c r="AI555" s="1477"/>
      <c r="AJ555" s="1478"/>
      <c r="AK555" s="1478"/>
      <c r="AL555" s="1479"/>
      <c r="AM555" s="1495">
        <v>7300000</v>
      </c>
      <c r="AN555" s="1496"/>
      <c r="AO555" s="1496"/>
      <c r="AP555" s="1496"/>
      <c r="AQ555" s="1496"/>
      <c r="AR555" s="1496"/>
      <c r="AS555" s="1497"/>
      <c r="AT555" s="1148" t="str">
        <f>IF(AND(NOT(C554=""),C555="",NOT(C556="")),"!","")</f>
        <v/>
      </c>
      <c r="AU555" s="1147"/>
      <c r="BB555" s="3"/>
      <c r="BC555" s="3"/>
      <c r="BD555" s="3"/>
      <c r="BE555" s="3"/>
      <c r="BF555" s="3"/>
      <c r="BG555" s="3"/>
      <c r="BH555" s="3"/>
      <c r="BI555" s="3"/>
    </row>
    <row r="556" spans="1:61" ht="13" customHeight="1">
      <c r="B556" s="52" t="s">
        <v>119</v>
      </c>
      <c r="C556" s="1667" t="s">
        <v>2722</v>
      </c>
      <c r="D556" s="1667"/>
      <c r="E556" s="1667"/>
      <c r="F556" s="1667"/>
      <c r="G556" s="1667"/>
      <c r="H556" s="1667"/>
      <c r="I556" s="1667"/>
      <c r="J556" s="1667"/>
      <c r="K556" s="1667"/>
      <c r="L556" s="1667"/>
      <c r="M556" s="1457" t="s">
        <v>2118</v>
      </c>
      <c r="N556" s="1457"/>
      <c r="O556" s="1457"/>
      <c r="P556" s="1457"/>
      <c r="Q556" s="1483">
        <v>36</v>
      </c>
      <c r="R556" s="1484"/>
      <c r="S556" s="1485"/>
      <c r="T556" s="1483"/>
      <c r="U556" s="1484"/>
      <c r="V556" s="1485"/>
      <c r="W556" s="1473">
        <v>4.3999999999999997E-2</v>
      </c>
      <c r="X556" s="1474"/>
      <c r="Y556" s="1475"/>
      <c r="Z556" s="1440" t="s">
        <v>2731</v>
      </c>
      <c r="AA556" s="1440"/>
      <c r="AB556" s="1440"/>
      <c r="AC556" s="1440"/>
      <c r="AD556" s="1440"/>
      <c r="AE556" s="1480">
        <v>1</v>
      </c>
      <c r="AF556" s="1481"/>
      <c r="AG556" s="1481"/>
      <c r="AH556" s="1482"/>
      <c r="AI556" s="1477"/>
      <c r="AJ556" s="1478"/>
      <c r="AK556" s="1478"/>
      <c r="AL556" s="1479"/>
      <c r="AM556" s="1495">
        <v>40241426</v>
      </c>
      <c r="AN556" s="1496"/>
      <c r="AO556" s="1496"/>
      <c r="AP556" s="1496"/>
      <c r="AQ556" s="1496"/>
      <c r="AR556" s="1496"/>
      <c r="AS556" s="1497"/>
      <c r="AT556" s="1148" t="str">
        <f>IF(AND(NOT(C555=""),C556="",NOT(C557="")),"!","")</f>
        <v/>
      </c>
      <c r="AU556" s="1147"/>
      <c r="BB556" s="3"/>
      <c r="BC556" s="3"/>
      <c r="BD556" s="3"/>
      <c r="BE556" s="3"/>
      <c r="BF556" s="3"/>
      <c r="BG556" s="3"/>
      <c r="BH556" s="3"/>
      <c r="BI556" s="3"/>
    </row>
    <row r="557" spans="1:61" ht="13" customHeight="1">
      <c r="B557" s="52" t="s">
        <v>581</v>
      </c>
      <c r="C557" s="1680" t="s">
        <v>2723</v>
      </c>
      <c r="D557" s="1681"/>
      <c r="E557" s="1681"/>
      <c r="F557" s="1681"/>
      <c r="G557" s="1681"/>
      <c r="H557" s="1681"/>
      <c r="I557" s="1681"/>
      <c r="J557" s="1681"/>
      <c r="K557" s="1681"/>
      <c r="L557" s="1682"/>
      <c r="M557" s="1457" t="s">
        <v>2110</v>
      </c>
      <c r="N557" s="1457"/>
      <c r="O557" s="1457"/>
      <c r="P557" s="1457"/>
      <c r="Q557" s="1483"/>
      <c r="R557" s="1484"/>
      <c r="S557" s="1485"/>
      <c r="T557" s="1483"/>
      <c r="U557" s="1484"/>
      <c r="V557" s="1485"/>
      <c r="W557" s="1473"/>
      <c r="X557" s="1474"/>
      <c r="Y557" s="1475"/>
      <c r="Z557" s="1440" t="s">
        <v>1184</v>
      </c>
      <c r="AA557" s="1440"/>
      <c r="AB557" s="1440"/>
      <c r="AC557" s="1440"/>
      <c r="AD557" s="1440"/>
      <c r="AE557" s="1480"/>
      <c r="AF557" s="1481"/>
      <c r="AG557" s="1481"/>
      <c r="AH557" s="1482"/>
      <c r="AI557" s="1477"/>
      <c r="AJ557" s="1478"/>
      <c r="AK557" s="1478"/>
      <c r="AL557" s="1479"/>
      <c r="AM557" s="1495">
        <v>3324667</v>
      </c>
      <c r="AN557" s="1496"/>
      <c r="AO557" s="1496"/>
      <c r="AP557" s="1496"/>
      <c r="AQ557" s="1496"/>
      <c r="AR557" s="1496"/>
      <c r="AS557" s="1497"/>
      <c r="AT557" s="1148" t="str">
        <f>IF(AND(NOT(C556=""),C557="",NOT(C558="")),"!","")</f>
        <v/>
      </c>
      <c r="AU557" s="1147"/>
      <c r="BB557" s="3"/>
      <c r="BC557" s="3"/>
      <c r="BD557" s="3"/>
      <c r="BE557" s="3"/>
      <c r="BF557" s="3"/>
      <c r="BG557" s="3"/>
      <c r="BH557" s="3"/>
      <c r="BI557" s="3"/>
    </row>
    <row r="558" spans="1:61" ht="13" customHeight="1">
      <c r="B558" s="52" t="s">
        <v>763</v>
      </c>
      <c r="C558" s="1667" t="s">
        <v>2652</v>
      </c>
      <c r="D558" s="1667"/>
      <c r="E558" s="1667"/>
      <c r="F558" s="1667"/>
      <c r="G558" s="1667"/>
      <c r="H558" s="1667"/>
      <c r="I558" s="1667"/>
      <c r="J558" s="1667"/>
      <c r="K558" s="1667"/>
      <c r="L558" s="1667"/>
      <c r="M558" s="1457" t="s">
        <v>2105</v>
      </c>
      <c r="N558" s="1457"/>
      <c r="O558" s="1457"/>
      <c r="P558" s="1457"/>
      <c r="Q558" s="1483"/>
      <c r="R558" s="1484"/>
      <c r="S558" s="1485"/>
      <c r="T558" s="1483"/>
      <c r="U558" s="1484"/>
      <c r="V558" s="1485"/>
      <c r="W558" s="1473"/>
      <c r="X558" s="1474"/>
      <c r="Y558" s="1475"/>
      <c r="Z558" s="1440" t="s">
        <v>1184</v>
      </c>
      <c r="AA558" s="1440"/>
      <c r="AB558" s="1440"/>
      <c r="AC558" s="1440"/>
      <c r="AD558" s="1440"/>
      <c r="AE558" s="1480"/>
      <c r="AF558" s="1481"/>
      <c r="AG558" s="1481"/>
      <c r="AH558" s="1482"/>
      <c r="AI558" s="1477"/>
      <c r="AJ558" s="1478"/>
      <c r="AK558" s="1478"/>
      <c r="AL558" s="1479"/>
      <c r="AM558" s="1495">
        <v>1104837</v>
      </c>
      <c r="AN558" s="1496"/>
      <c r="AO558" s="1496"/>
      <c r="AP558" s="1496"/>
      <c r="AQ558" s="1496"/>
      <c r="AR558" s="1496"/>
      <c r="AS558" s="1497"/>
      <c r="AT558" s="1148" t="str">
        <f>IF(AND(NOT(C557=""),C558="",NOT(C559="")),"!","")</f>
        <v/>
      </c>
      <c r="AU558" s="1147"/>
      <c r="BB558" s="3"/>
      <c r="BC558" s="3"/>
      <c r="BD558" s="3"/>
      <c r="BE558" s="3"/>
      <c r="BF558" s="3"/>
      <c r="BG558" s="3"/>
      <c r="BH558" s="3" t="s">
        <v>763</v>
      </c>
      <c r="BI558" s="3" t="str">
        <f>N665</f>
        <v>No</v>
      </c>
    </row>
    <row r="559" spans="1:61" ht="13" customHeight="1">
      <c r="B559" s="52" t="s">
        <v>584</v>
      </c>
      <c r="C559" s="1667" t="s">
        <v>2652</v>
      </c>
      <c r="D559" s="1667"/>
      <c r="E559" s="1667"/>
      <c r="F559" s="1667"/>
      <c r="G559" s="1667"/>
      <c r="H559" s="1667"/>
      <c r="I559" s="1667"/>
      <c r="J559" s="1667"/>
      <c r="K559" s="1667"/>
      <c r="L559" s="1667"/>
      <c r="M559" s="1457" t="s">
        <v>2121</v>
      </c>
      <c r="N559" s="1457"/>
      <c r="O559" s="1457"/>
      <c r="P559" s="1457"/>
      <c r="Q559" s="1483"/>
      <c r="R559" s="1484"/>
      <c r="S559" s="1485"/>
      <c r="T559" s="1483"/>
      <c r="U559" s="1484"/>
      <c r="V559" s="1485"/>
      <c r="W559" s="1473"/>
      <c r="X559" s="1474"/>
      <c r="Y559" s="1475"/>
      <c r="Z559" s="1440" t="s">
        <v>1184</v>
      </c>
      <c r="AA559" s="1440"/>
      <c r="AB559" s="1440"/>
      <c r="AC559" s="1440"/>
      <c r="AD559" s="1440"/>
      <c r="AE559" s="1480"/>
      <c r="AF559" s="1481"/>
      <c r="AG559" s="1481"/>
      <c r="AH559" s="1482"/>
      <c r="AI559" s="1477"/>
      <c r="AJ559" s="1478"/>
      <c r="AK559" s="1478"/>
      <c r="AL559" s="1479"/>
      <c r="AM559" s="1495">
        <v>3809858</v>
      </c>
      <c r="AN559" s="1496"/>
      <c r="AO559" s="1496"/>
      <c r="AP559" s="1496"/>
      <c r="AQ559" s="1496"/>
      <c r="AR559" s="1496"/>
      <c r="AS559" s="1497"/>
      <c r="AT559" s="1148" t="str">
        <f>IF(AND(NOT(C558=""),C559="",NOT(C560="")),"!","")</f>
        <v/>
      </c>
      <c r="AU559" s="1147"/>
      <c r="BB559" s="3"/>
      <c r="BC559" s="3"/>
      <c r="BD559" s="3"/>
      <c r="BE559" s="3"/>
      <c r="BF559" s="3"/>
      <c r="BG559" s="3"/>
      <c r="BH559" s="3" t="s">
        <v>584</v>
      </c>
      <c r="BI559" s="3" t="str">
        <f>AG665</f>
        <v>No</v>
      </c>
    </row>
    <row r="560" spans="1:61" ht="13" customHeight="1">
      <c r="B560" s="52" t="s">
        <v>455</v>
      </c>
      <c r="C560" s="1667" t="s">
        <v>2730</v>
      </c>
      <c r="D560" s="1667"/>
      <c r="E560" s="1667"/>
      <c r="F560" s="1667"/>
      <c r="G560" s="1667"/>
      <c r="H560" s="1667"/>
      <c r="I560" s="1667"/>
      <c r="J560" s="1667"/>
      <c r="K560" s="1667"/>
      <c r="L560" s="1667"/>
      <c r="M560" s="1457" t="s">
        <v>2106</v>
      </c>
      <c r="N560" s="1457"/>
      <c r="O560" s="1457"/>
      <c r="P560" s="1457"/>
      <c r="Q560" s="1483"/>
      <c r="R560" s="1484"/>
      <c r="S560" s="1485"/>
      <c r="T560" s="1483"/>
      <c r="U560" s="1484"/>
      <c r="V560" s="1485"/>
      <c r="W560" s="1473"/>
      <c r="X560" s="1474"/>
      <c r="Y560" s="1475"/>
      <c r="Z560" s="1440" t="s">
        <v>1184</v>
      </c>
      <c r="AA560" s="1440"/>
      <c r="AB560" s="1440"/>
      <c r="AC560" s="1440"/>
      <c r="AD560" s="1440"/>
      <c r="AE560" s="1480"/>
      <c r="AF560" s="1481"/>
      <c r="AG560" s="1481"/>
      <c r="AH560" s="1482"/>
      <c r="AI560" s="1477"/>
      <c r="AJ560" s="1478"/>
      <c r="AK560" s="1478"/>
      <c r="AL560" s="1479"/>
      <c r="AM560" s="1495">
        <v>11116641</v>
      </c>
      <c r="AN560" s="1496"/>
      <c r="AO560" s="1496"/>
      <c r="AP560" s="1496"/>
      <c r="AQ560" s="1496"/>
      <c r="AR560" s="1496"/>
      <c r="AS560" s="1497"/>
      <c r="AT560" s="1148" t="str">
        <f t="shared" ref="AT560:AT565" si="0">IF(AND(NOT(C559=""),C560="",NOT(C561="")),"!","")</f>
        <v/>
      </c>
      <c r="AU560" s="1147"/>
      <c r="BB560" s="3"/>
      <c r="BC560" s="3"/>
      <c r="BD560" s="3"/>
      <c r="BE560" s="3"/>
      <c r="BF560" s="3"/>
      <c r="BG560" s="3"/>
      <c r="BH560" s="3"/>
      <c r="BI560" s="3"/>
    </row>
    <row r="561" spans="1:61" ht="13" customHeight="1">
      <c r="B561" s="52" t="s">
        <v>456</v>
      </c>
      <c r="C561" s="1667"/>
      <c r="D561" s="1667"/>
      <c r="E561" s="1667"/>
      <c r="F561" s="1667"/>
      <c r="G561" s="1667"/>
      <c r="H561" s="1667"/>
      <c r="I561" s="1667"/>
      <c r="J561" s="1667"/>
      <c r="K561" s="1667"/>
      <c r="L561" s="1667"/>
      <c r="M561" s="1457" t="s">
        <v>1184</v>
      </c>
      <c r="N561" s="1457"/>
      <c r="O561" s="1457"/>
      <c r="P561" s="1457"/>
      <c r="Q561" s="1483"/>
      <c r="R561" s="1484"/>
      <c r="S561" s="1485"/>
      <c r="T561" s="1483"/>
      <c r="U561" s="1484"/>
      <c r="V561" s="1485"/>
      <c r="W561" s="1473"/>
      <c r="X561" s="1474"/>
      <c r="Y561" s="1475"/>
      <c r="Z561" s="1440" t="s">
        <v>1184</v>
      </c>
      <c r="AA561" s="1440"/>
      <c r="AB561" s="1440"/>
      <c r="AC561" s="1440"/>
      <c r="AD561" s="1440"/>
      <c r="AE561" s="1480"/>
      <c r="AF561" s="1481"/>
      <c r="AG561" s="1481"/>
      <c r="AH561" s="1482"/>
      <c r="AI561" s="1477"/>
      <c r="AJ561" s="1478"/>
      <c r="AK561" s="1478"/>
      <c r="AL561" s="1479"/>
      <c r="AM561" s="1495"/>
      <c r="AN561" s="1496"/>
      <c r="AO561" s="1496"/>
      <c r="AP561" s="1496"/>
      <c r="AQ561" s="1496"/>
      <c r="AR561" s="1496"/>
      <c r="AS561" s="1497"/>
      <c r="AT561" s="1148" t="str">
        <f t="shared" si="0"/>
        <v/>
      </c>
      <c r="AU561" s="1147"/>
      <c r="BB561" s="3"/>
      <c r="BC561" s="3"/>
      <c r="BD561" s="3"/>
      <c r="BE561" s="3"/>
      <c r="BF561" s="3"/>
      <c r="BG561" s="3"/>
      <c r="BH561" s="3"/>
      <c r="BI561" s="3"/>
    </row>
    <row r="562" spans="1:61" ht="13" customHeight="1">
      <c r="B562" s="52" t="s">
        <v>461</v>
      </c>
      <c r="C562" s="1667"/>
      <c r="D562" s="1667"/>
      <c r="E562" s="1667"/>
      <c r="F562" s="1667"/>
      <c r="G562" s="1667"/>
      <c r="H562" s="1667"/>
      <c r="I562" s="1667"/>
      <c r="J562" s="1667"/>
      <c r="K562" s="1667"/>
      <c r="L562" s="1667"/>
      <c r="M562" s="1457" t="s">
        <v>1184</v>
      </c>
      <c r="N562" s="1457"/>
      <c r="O562" s="1457"/>
      <c r="P562" s="1457"/>
      <c r="Q562" s="1483"/>
      <c r="R562" s="1484"/>
      <c r="S562" s="1485"/>
      <c r="T562" s="1483"/>
      <c r="U562" s="1484"/>
      <c r="V562" s="1485"/>
      <c r="W562" s="1473"/>
      <c r="X562" s="1474"/>
      <c r="Y562" s="1475"/>
      <c r="Z562" s="1440" t="s">
        <v>1184</v>
      </c>
      <c r="AA562" s="1440"/>
      <c r="AB562" s="1440"/>
      <c r="AC562" s="1440"/>
      <c r="AD562" s="1440"/>
      <c r="AE562" s="1480"/>
      <c r="AF562" s="1481"/>
      <c r="AG562" s="1481"/>
      <c r="AH562" s="1482"/>
      <c r="AI562" s="1477"/>
      <c r="AJ562" s="1478"/>
      <c r="AK562" s="1478"/>
      <c r="AL562" s="1479"/>
      <c r="AM562" s="1495"/>
      <c r="AN562" s="1496"/>
      <c r="AO562" s="1496"/>
      <c r="AP562" s="1496"/>
      <c r="AQ562" s="1496"/>
      <c r="AR562" s="1496"/>
      <c r="AS562" s="1497"/>
      <c r="AT562" s="1148" t="str">
        <f t="shared" si="0"/>
        <v/>
      </c>
      <c r="AU562" s="1147"/>
      <c r="BB562" s="3"/>
      <c r="BC562" s="3"/>
      <c r="BD562" s="3"/>
      <c r="BE562" s="3"/>
      <c r="BF562" s="3"/>
      <c r="BG562" s="3"/>
      <c r="BH562" s="3"/>
      <c r="BI562" s="3"/>
    </row>
    <row r="563" spans="1:61" ht="13" customHeight="1">
      <c r="B563" s="52" t="s">
        <v>646</v>
      </c>
      <c r="C563" s="1667"/>
      <c r="D563" s="1667"/>
      <c r="E563" s="1667"/>
      <c r="F563" s="1667"/>
      <c r="G563" s="1667"/>
      <c r="H563" s="1667"/>
      <c r="I563" s="1667"/>
      <c r="J563" s="1667"/>
      <c r="K563" s="1667"/>
      <c r="L563" s="1667"/>
      <c r="M563" s="1457" t="s">
        <v>1184</v>
      </c>
      <c r="N563" s="1457"/>
      <c r="O563" s="1457"/>
      <c r="P563" s="1457"/>
      <c r="Q563" s="1483"/>
      <c r="R563" s="1484"/>
      <c r="S563" s="1485"/>
      <c r="T563" s="1483"/>
      <c r="U563" s="1484"/>
      <c r="V563" s="1485"/>
      <c r="W563" s="1473"/>
      <c r="X563" s="1474"/>
      <c r="Y563" s="1475"/>
      <c r="Z563" s="1440" t="s">
        <v>1184</v>
      </c>
      <c r="AA563" s="1440"/>
      <c r="AB563" s="1440"/>
      <c r="AC563" s="1440"/>
      <c r="AD563" s="1440"/>
      <c r="AE563" s="1480"/>
      <c r="AF563" s="1481"/>
      <c r="AG563" s="1481"/>
      <c r="AH563" s="1482"/>
      <c r="AI563" s="1477"/>
      <c r="AJ563" s="1478"/>
      <c r="AK563" s="1478"/>
      <c r="AL563" s="1479"/>
      <c r="AM563" s="1495"/>
      <c r="AN563" s="1496"/>
      <c r="AO563" s="1496"/>
      <c r="AP563" s="1496"/>
      <c r="AQ563" s="1496"/>
      <c r="AR563" s="1496"/>
      <c r="AS563" s="1497"/>
      <c r="AT563" s="1148" t="str">
        <f t="shared" si="0"/>
        <v/>
      </c>
      <c r="BB563" s="3"/>
      <c r="BC563" s="3"/>
      <c r="BD563" s="3"/>
      <c r="BE563" s="3"/>
      <c r="BF563" s="3"/>
      <c r="BG563" s="3"/>
      <c r="BH563" s="3"/>
      <c r="BI563" s="3"/>
    </row>
    <row r="564" spans="1:61" ht="13" customHeight="1">
      <c r="B564" s="52" t="s">
        <v>362</v>
      </c>
      <c r="C564" s="1667"/>
      <c r="D564" s="1667"/>
      <c r="E564" s="1667"/>
      <c r="F564" s="1667"/>
      <c r="G564" s="1667"/>
      <c r="H564" s="1667"/>
      <c r="I564" s="1667"/>
      <c r="J564" s="1667"/>
      <c r="K564" s="1667"/>
      <c r="L564" s="1667"/>
      <c r="M564" s="1457" t="s">
        <v>1184</v>
      </c>
      <c r="N564" s="1457"/>
      <c r="O564" s="1457"/>
      <c r="P564" s="1457"/>
      <c r="Q564" s="1483"/>
      <c r="R564" s="1484"/>
      <c r="S564" s="1485"/>
      <c r="T564" s="1483"/>
      <c r="U564" s="1484"/>
      <c r="V564" s="1485"/>
      <c r="W564" s="1473"/>
      <c r="X564" s="1474"/>
      <c r="Y564" s="1475"/>
      <c r="Z564" s="1440" t="s">
        <v>1184</v>
      </c>
      <c r="AA564" s="1440"/>
      <c r="AB564" s="1440"/>
      <c r="AC564" s="1440"/>
      <c r="AD564" s="1440"/>
      <c r="AE564" s="1480"/>
      <c r="AF564" s="1481"/>
      <c r="AG564" s="1481"/>
      <c r="AH564" s="1482"/>
      <c r="AI564" s="1477"/>
      <c r="AJ564" s="1478"/>
      <c r="AK564" s="1478"/>
      <c r="AL564" s="1479"/>
      <c r="AM564" s="1495"/>
      <c r="AN564" s="1496"/>
      <c r="AO564" s="1496"/>
      <c r="AP564" s="1496"/>
      <c r="AQ564" s="1496"/>
      <c r="AR564" s="1496"/>
      <c r="AS564" s="1497"/>
      <c r="AT564" s="1148" t="str">
        <f t="shared" si="0"/>
        <v/>
      </c>
      <c r="BB564" s="3"/>
      <c r="BC564" s="3"/>
      <c r="BD564" s="3"/>
      <c r="BE564" s="3"/>
      <c r="BF564" s="3"/>
      <c r="BG564" s="3"/>
      <c r="BH564" s="3"/>
      <c r="BI564" s="3"/>
    </row>
    <row r="565" spans="1:61" ht="13" customHeight="1">
      <c r="B565" s="52" t="s">
        <v>363</v>
      </c>
      <c r="C565" s="1667"/>
      <c r="D565" s="1667"/>
      <c r="E565" s="1667"/>
      <c r="F565" s="1667"/>
      <c r="G565" s="1667"/>
      <c r="H565" s="1667"/>
      <c r="I565" s="1667"/>
      <c r="J565" s="1667"/>
      <c r="K565" s="1667"/>
      <c r="L565" s="1667"/>
      <c r="M565" s="1457" t="s">
        <v>1184</v>
      </c>
      <c r="N565" s="1457"/>
      <c r="O565" s="1457"/>
      <c r="P565" s="1457"/>
      <c r="Q565" s="1483"/>
      <c r="R565" s="1484"/>
      <c r="S565" s="1485"/>
      <c r="T565" s="1483"/>
      <c r="U565" s="1484"/>
      <c r="V565" s="1485"/>
      <c r="W565" s="1473"/>
      <c r="X565" s="1474"/>
      <c r="Y565" s="1475"/>
      <c r="Z565" s="1440" t="s">
        <v>1184</v>
      </c>
      <c r="AA565" s="1440"/>
      <c r="AB565" s="1440"/>
      <c r="AC565" s="1440"/>
      <c r="AD565" s="1440"/>
      <c r="AE565" s="1480"/>
      <c r="AF565" s="1481"/>
      <c r="AG565" s="1481"/>
      <c r="AH565" s="1482"/>
      <c r="AI565" s="1477"/>
      <c r="AJ565" s="1478"/>
      <c r="AK565" s="1478"/>
      <c r="AL565" s="1479"/>
      <c r="AM565" s="1495"/>
      <c r="AN565" s="1496"/>
      <c r="AO565" s="1496"/>
      <c r="AP565" s="1496"/>
      <c r="AQ565" s="1496"/>
      <c r="AR565" s="1496"/>
      <c r="AS565" s="1497"/>
      <c r="AT565" s="1148" t="str">
        <f t="shared" si="0"/>
        <v/>
      </c>
      <c r="BB565" s="3"/>
      <c r="BC565" s="3"/>
      <c r="BD565" s="3"/>
      <c r="BE565" s="3"/>
      <c r="BF565" s="3"/>
      <c r="BG565" s="3"/>
      <c r="BH565" s="3"/>
      <c r="BI565" s="3"/>
    </row>
    <row r="566" spans="1:61" ht="13" customHeight="1">
      <c r="B566" s="1336" t="s">
        <v>127</v>
      </c>
      <c r="C566" s="1337"/>
      <c r="D566" s="1337"/>
      <c r="E566" s="1337"/>
      <c r="F566" s="1337"/>
      <c r="G566" s="1337"/>
      <c r="H566" s="1337"/>
      <c r="I566" s="1337"/>
      <c r="J566" s="1337"/>
      <c r="K566" s="1337"/>
      <c r="L566" s="1337"/>
      <c r="M566" s="1337"/>
      <c r="N566" s="1337"/>
      <c r="O566" s="1337"/>
      <c r="P566" s="1337"/>
      <c r="Q566" s="1337"/>
      <c r="R566" s="1337"/>
      <c r="S566" s="1337"/>
      <c r="T566" s="1337"/>
      <c r="U566" s="1488"/>
      <c r="V566" s="1337"/>
      <c r="W566" s="1337"/>
      <c r="X566" s="1337"/>
      <c r="Y566" s="1337"/>
      <c r="Z566" s="1337"/>
      <c r="AA566" s="1337"/>
      <c r="AB566" s="1337"/>
      <c r="AC566" s="1337"/>
      <c r="AD566" s="1337"/>
      <c r="AE566" s="1337"/>
      <c r="AF566" s="1337"/>
      <c r="AG566" s="1337"/>
      <c r="AH566" s="1337"/>
      <c r="AI566" s="1337"/>
      <c r="AJ566" s="1337"/>
      <c r="AK566" s="1337"/>
      <c r="AL566" s="1338"/>
      <c r="AM566" s="1498">
        <f>SUM(AM554:AS565)</f>
        <v>90897429</v>
      </c>
      <c r="AN566" s="1499"/>
      <c r="AO566" s="1499"/>
      <c r="AP566" s="1499"/>
      <c r="AQ566" s="1499"/>
      <c r="AR566" s="1499"/>
      <c r="AS566" s="1500"/>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94" t="str">
        <f>C554</f>
        <v>Citibank, N.A.</v>
      </c>
      <c r="H568" s="1494"/>
      <c r="I568" s="1494"/>
      <c r="J568" s="1494"/>
      <c r="K568" s="1494"/>
      <c r="L568" s="1494"/>
      <c r="M568" s="1494"/>
      <c r="N568" s="1494"/>
      <c r="O568" s="1494"/>
      <c r="P568" s="1494"/>
      <c r="Q568" s="1494"/>
      <c r="R568" s="1494"/>
      <c r="S568" s="8"/>
      <c r="T568" s="55" t="s">
        <v>113</v>
      </c>
      <c r="U568" t="s">
        <v>463</v>
      </c>
      <c r="Z568" s="1494" t="str">
        <f>C555</f>
        <v>Citibank, N.A.</v>
      </c>
      <c r="AA568" s="1494"/>
      <c r="AB568" s="1494"/>
      <c r="AC568" s="1494"/>
      <c r="AD568" s="1494"/>
      <c r="AE568" s="1494"/>
      <c r="AF568" s="1494"/>
      <c r="AG568" s="1494"/>
      <c r="AH568" s="1494"/>
      <c r="AI568" s="1494"/>
      <c r="AJ568" s="1494"/>
      <c r="AK568" s="1494"/>
      <c r="BB568" s="3"/>
      <c r="BC568" s="3"/>
      <c r="BD568" s="3"/>
      <c r="BE568" s="3"/>
      <c r="BF568" s="3"/>
      <c r="BG568" s="3"/>
      <c r="BH568" s="3"/>
      <c r="BI568" s="3"/>
    </row>
    <row r="569" spans="1:61" ht="13" customHeight="1">
      <c r="A569" s="22"/>
      <c r="B569" t="s">
        <v>85</v>
      </c>
      <c r="G569" s="1487" t="s">
        <v>2709</v>
      </c>
      <c r="H569" s="1487"/>
      <c r="I569" s="1487"/>
      <c r="J569" s="1487"/>
      <c r="K569" s="1487"/>
      <c r="L569" s="1487"/>
      <c r="M569" s="1487"/>
      <c r="N569" s="1487"/>
      <c r="O569" s="1487"/>
      <c r="P569" s="1487"/>
      <c r="Q569" s="1487"/>
      <c r="R569" s="1487"/>
      <c r="S569" s="8"/>
      <c r="T569" s="22"/>
      <c r="U569" t="s">
        <v>85</v>
      </c>
      <c r="Z569" s="1487" t="s">
        <v>2725</v>
      </c>
      <c r="AA569" s="1487"/>
      <c r="AB569" s="1487"/>
      <c r="AC569" s="1487"/>
      <c r="AD569" s="1487"/>
      <c r="AE569" s="1487"/>
      <c r="AF569" s="1487"/>
      <c r="AG569" s="1487"/>
      <c r="AH569" s="1487"/>
      <c r="AI569" s="1487"/>
      <c r="AJ569" s="1487"/>
      <c r="AK569" s="1487"/>
      <c r="BB569" s="3"/>
      <c r="BC569" s="3"/>
      <c r="BD569" s="3"/>
      <c r="BE569" s="3"/>
      <c r="BF569" s="3"/>
      <c r="BG569" s="3"/>
      <c r="BH569" s="3"/>
      <c r="BI569" s="3"/>
    </row>
    <row r="570" spans="1:61" ht="13" customHeight="1">
      <c r="A570" s="22"/>
      <c r="B570" t="s">
        <v>580</v>
      </c>
      <c r="G570" s="1487" t="s">
        <v>2710</v>
      </c>
      <c r="H570" s="1487"/>
      <c r="I570" s="1487"/>
      <c r="J570" s="1487"/>
      <c r="K570" s="1487"/>
      <c r="L570" s="1487"/>
      <c r="M570" s="1487"/>
      <c r="N570" s="1487"/>
      <c r="O570" s="1487"/>
      <c r="P570" s="1487"/>
      <c r="Q570" s="1487"/>
      <c r="R570" s="1487"/>
      <c r="T570" s="22"/>
      <c r="U570" t="s">
        <v>580</v>
      </c>
      <c r="Z570" s="1455" t="s">
        <v>2710</v>
      </c>
      <c r="AA570" s="1455"/>
      <c r="AB570" s="1455"/>
      <c r="AC570" s="1455"/>
      <c r="AD570" s="1455"/>
      <c r="AE570" s="1455"/>
      <c r="AF570" s="1455"/>
      <c r="AG570" s="1455"/>
      <c r="AH570" s="1455"/>
      <c r="AI570" s="1455"/>
      <c r="AJ570" s="1455"/>
      <c r="AK570" s="1455"/>
      <c r="BB570" s="3"/>
      <c r="BC570" s="3"/>
      <c r="BD570" s="3"/>
      <c r="BE570" s="3"/>
      <c r="BF570" s="3"/>
      <c r="BG570" s="3"/>
      <c r="BH570" s="3"/>
      <c r="BI570" s="3"/>
    </row>
    <row r="571" spans="1:61" ht="13" customHeight="1">
      <c r="A571" s="22"/>
      <c r="B571" t="s">
        <v>17</v>
      </c>
      <c r="G571" s="1487" t="s">
        <v>2711</v>
      </c>
      <c r="H571" s="1487"/>
      <c r="I571" s="1487"/>
      <c r="J571" s="1487"/>
      <c r="K571" s="1487"/>
      <c r="L571" s="1487"/>
      <c r="M571" s="1487"/>
      <c r="N571" s="1487"/>
      <c r="O571" s="1487"/>
      <c r="P571" s="1487"/>
      <c r="Q571" s="1487"/>
      <c r="R571" s="1487"/>
      <c r="S571" s="8"/>
      <c r="T571" s="22"/>
      <c r="U571" t="s">
        <v>17</v>
      </c>
      <c r="Z571" s="1455" t="s">
        <v>2711</v>
      </c>
      <c r="AA571" s="1455"/>
      <c r="AB571" s="1455"/>
      <c r="AC571" s="1455"/>
      <c r="AD571" s="1455"/>
      <c r="AE571" s="1455"/>
      <c r="AF571" s="1455"/>
      <c r="AG571" s="1455"/>
      <c r="AH571" s="1455"/>
      <c r="AI571" s="1455"/>
      <c r="AJ571" s="1455"/>
      <c r="AK571" s="1455"/>
      <c r="BB571" s="3"/>
      <c r="BC571" s="3"/>
      <c r="BD571" s="3"/>
      <c r="BE571" s="3"/>
      <c r="BF571" s="3"/>
      <c r="BG571" s="3"/>
      <c r="BH571" s="3"/>
      <c r="BI571" s="3"/>
    </row>
    <row r="572" spans="1:61" ht="13" customHeight="1">
      <c r="A572" s="22"/>
      <c r="B572" t="s">
        <v>316</v>
      </c>
      <c r="G572" s="1522" t="s">
        <v>2712</v>
      </c>
      <c r="H572" s="1501"/>
      <c r="I572" s="1501"/>
      <c r="J572" s="1501"/>
      <c r="K572" s="1501"/>
      <c r="L572" s="1501"/>
      <c r="O572" s="33" t="s">
        <v>206</v>
      </c>
      <c r="P572" s="1486"/>
      <c r="Q572" s="1486"/>
      <c r="R572" s="1486"/>
      <c r="S572" s="10"/>
      <c r="T572" s="22"/>
      <c r="U572" t="s">
        <v>316</v>
      </c>
      <c r="Z572" s="1522">
        <v>8055570933</v>
      </c>
      <c r="AA572" s="1501"/>
      <c r="AB572" s="1501"/>
      <c r="AC572" s="1501"/>
      <c r="AD572" s="1501"/>
      <c r="AE572" s="1501"/>
      <c r="AH572" s="33" t="s">
        <v>206</v>
      </c>
      <c r="AI572" s="1486"/>
      <c r="AJ572" s="1486"/>
      <c r="AK572" s="1486"/>
      <c r="BB572" s="3"/>
      <c r="BC572" s="3"/>
      <c r="BD572" s="3"/>
      <c r="BE572" s="3"/>
      <c r="BF572" s="3"/>
      <c r="BG572" s="3"/>
      <c r="BH572" s="3"/>
      <c r="BI572" s="3"/>
    </row>
    <row r="573" spans="1:61" ht="13" customHeight="1">
      <c r="A573" s="22"/>
      <c r="B573" t="s">
        <v>18</v>
      </c>
      <c r="H573" s="1487" t="s">
        <v>2713</v>
      </c>
      <c r="I573" s="1487"/>
      <c r="J573" s="1487"/>
      <c r="K573" s="1487"/>
      <c r="L573" s="1487"/>
      <c r="M573" s="1487"/>
      <c r="N573" s="1487"/>
      <c r="O573" s="1487"/>
      <c r="P573" s="1487"/>
      <c r="Q573" s="1487"/>
      <c r="R573" s="1487"/>
      <c r="S573" s="8"/>
      <c r="T573" s="22"/>
      <c r="U573" t="s">
        <v>18</v>
      </c>
      <c r="AA573" s="1487" t="s">
        <v>2726</v>
      </c>
      <c r="AB573" s="1487"/>
      <c r="AC573" s="1487"/>
      <c r="AD573" s="1487"/>
      <c r="AE573" s="1487"/>
      <c r="AF573" s="1487"/>
      <c r="AG573" s="1487"/>
      <c r="AH573" s="1487"/>
      <c r="AI573" s="1487"/>
      <c r="AJ573" s="1487"/>
      <c r="AK573" s="1487"/>
      <c r="BB573" s="3"/>
      <c r="BC573" s="3"/>
      <c r="BD573" s="3"/>
      <c r="BE573" s="3"/>
      <c r="BF573" s="3"/>
      <c r="BG573" s="3"/>
      <c r="BH573" s="3"/>
      <c r="BI573" s="3"/>
    </row>
    <row r="574" spans="1:61" ht="13" customHeight="1">
      <c r="A574" s="22"/>
      <c r="B574" s="320" t="s">
        <v>1185</v>
      </c>
      <c r="H574" s="8"/>
      <c r="I574" s="8"/>
      <c r="J574" s="8"/>
      <c r="K574" s="8"/>
      <c r="L574" s="8"/>
      <c r="M574" s="1635"/>
      <c r="N574" s="1635"/>
      <c r="O574" s="1635"/>
      <c r="P574" s="1635"/>
      <c r="Q574" s="1635"/>
      <c r="R574" s="1635"/>
      <c r="S574" s="8"/>
      <c r="T574" s="22"/>
      <c r="U574" s="320" t="s">
        <v>1185</v>
      </c>
      <c r="AA574" s="8"/>
      <c r="AB574" s="8"/>
      <c r="AC574" s="8"/>
      <c r="AD574" s="8"/>
      <c r="AE574" s="8"/>
      <c r="AF574" s="1635"/>
      <c r="AG574" s="1635"/>
      <c r="AH574" s="1635"/>
      <c r="AI574" s="1635"/>
      <c r="AJ574" s="1635"/>
      <c r="AK574" s="1635"/>
      <c r="BB574" s="3"/>
      <c r="BC574" s="3"/>
      <c r="BD574" s="3"/>
      <c r="BE574" s="3"/>
      <c r="BF574" s="3"/>
      <c r="BG574" s="3"/>
      <c r="BH574" s="3"/>
      <c r="BI574" s="3"/>
    </row>
    <row r="575" spans="1:61" ht="13" customHeight="1">
      <c r="A575" s="22"/>
      <c r="B575" t="s">
        <v>20</v>
      </c>
      <c r="N575" s="1476" t="s">
        <v>545</v>
      </c>
      <c r="O575" s="1476"/>
      <c r="T575" s="22"/>
      <c r="U575" t="s">
        <v>20</v>
      </c>
      <c r="AG575" s="1476" t="s">
        <v>545</v>
      </c>
      <c r="AH575" s="147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94" t="str">
        <f>C556</f>
        <v>Citibank, N.A.</v>
      </c>
      <c r="H577" s="1494"/>
      <c r="I577" s="1494"/>
      <c r="J577" s="1494"/>
      <c r="K577" s="1494"/>
      <c r="L577" s="1494"/>
      <c r="M577" s="1494"/>
      <c r="N577" s="1494"/>
      <c r="O577" s="1494"/>
      <c r="P577" s="1494"/>
      <c r="Q577" s="1494"/>
      <c r="R577" s="1494"/>
      <c r="T577" s="55" t="s">
        <v>581</v>
      </c>
      <c r="U577" t="s">
        <v>463</v>
      </c>
      <c r="Z577" s="1494" t="str">
        <f>C557</f>
        <v>R4 Capital</v>
      </c>
      <c r="AA577" s="1494"/>
      <c r="AB577" s="1494"/>
      <c r="AC577" s="1494"/>
      <c r="AD577" s="1494"/>
      <c r="AE577" s="1494"/>
      <c r="AF577" s="1494"/>
      <c r="AG577" s="1494"/>
      <c r="AH577" s="1494"/>
      <c r="AI577" s="1494"/>
      <c r="AJ577" s="1494"/>
      <c r="AK577" s="1494"/>
      <c r="BB577" s="3"/>
      <c r="BC577" s="3"/>
    </row>
    <row r="578" spans="1:55" ht="13" customHeight="1">
      <c r="A578" s="22"/>
      <c r="B578" t="s">
        <v>85</v>
      </c>
      <c r="G578" s="1487" t="s">
        <v>2725</v>
      </c>
      <c r="H578" s="1487"/>
      <c r="I578" s="1487"/>
      <c r="J578" s="1487"/>
      <c r="K578" s="1487"/>
      <c r="L578" s="1487"/>
      <c r="M578" s="1487"/>
      <c r="N578" s="1487"/>
      <c r="O578" s="1487"/>
      <c r="P578" s="1487"/>
      <c r="Q578" s="1487"/>
      <c r="R578" s="1487"/>
      <c r="T578" s="22"/>
      <c r="U578" t="s">
        <v>85</v>
      </c>
      <c r="Z578" s="1487" t="s">
        <v>2714</v>
      </c>
      <c r="AA578" s="1487"/>
      <c r="AB578" s="1487"/>
      <c r="AC578" s="1487"/>
      <c r="AD578" s="1487"/>
      <c r="AE578" s="1487"/>
      <c r="AF578" s="1487"/>
      <c r="AG578" s="1487"/>
      <c r="AH578" s="1487"/>
      <c r="AI578" s="1487"/>
      <c r="AJ578" s="1487"/>
      <c r="AK578" s="1487"/>
      <c r="BB578" s="3"/>
      <c r="BC578" s="3"/>
    </row>
    <row r="579" spans="1:55" ht="13" customHeight="1">
      <c r="A579" s="22"/>
      <c r="B579" t="s">
        <v>580</v>
      </c>
      <c r="G579" s="1455" t="s">
        <v>2710</v>
      </c>
      <c r="H579" s="1455"/>
      <c r="I579" s="1455"/>
      <c r="J579" s="1455"/>
      <c r="K579" s="1455"/>
      <c r="L579" s="1455"/>
      <c r="M579" s="1455"/>
      <c r="N579" s="1455"/>
      <c r="O579" s="1455"/>
      <c r="P579" s="1455"/>
      <c r="Q579" s="1455"/>
      <c r="R579" s="1455"/>
      <c r="T579" s="22"/>
      <c r="U579" t="s">
        <v>580</v>
      </c>
      <c r="Z579" s="1455" t="s">
        <v>2653</v>
      </c>
      <c r="AA579" s="1455"/>
      <c r="AB579" s="1455"/>
      <c r="AC579" s="1455"/>
      <c r="AD579" s="1455"/>
      <c r="AE579" s="1455"/>
      <c r="AF579" s="1455"/>
      <c r="AG579" s="1455"/>
      <c r="AH579" s="1455"/>
      <c r="AI579" s="1455"/>
      <c r="AJ579" s="1455"/>
      <c r="AK579" s="1455"/>
      <c r="BB579" s="3"/>
      <c r="BC579" s="3"/>
    </row>
    <row r="580" spans="1:55" ht="13" customHeight="1">
      <c r="A580" s="22"/>
      <c r="B580" t="s">
        <v>17</v>
      </c>
      <c r="G580" s="1455" t="s">
        <v>2711</v>
      </c>
      <c r="H580" s="1455"/>
      <c r="I580" s="1455"/>
      <c r="J580" s="1455"/>
      <c r="K580" s="1455"/>
      <c r="L580" s="1455"/>
      <c r="M580" s="1455"/>
      <c r="N580" s="1455"/>
      <c r="O580" s="1455"/>
      <c r="P580" s="1455"/>
      <c r="Q580" s="1455"/>
      <c r="R580" s="1455"/>
      <c r="T580" s="22"/>
      <c r="U580" t="s">
        <v>17</v>
      </c>
      <c r="Z580" s="1455" t="s">
        <v>2690</v>
      </c>
      <c r="AA580" s="1455"/>
      <c r="AB580" s="1455"/>
      <c r="AC580" s="1455"/>
      <c r="AD580" s="1455"/>
      <c r="AE580" s="1455"/>
      <c r="AF580" s="1455"/>
      <c r="AG580" s="1455"/>
      <c r="AH580" s="1455"/>
      <c r="AI580" s="1455"/>
      <c r="AJ580" s="1455"/>
      <c r="AK580" s="1455"/>
      <c r="BB580" s="3"/>
      <c r="BC580" s="3"/>
    </row>
    <row r="581" spans="1:55" ht="13" customHeight="1">
      <c r="A581" s="22"/>
      <c r="B581" t="s">
        <v>316</v>
      </c>
      <c r="G581" s="1522">
        <v>8055570933</v>
      </c>
      <c r="H581" s="1501"/>
      <c r="I581" s="1501"/>
      <c r="J581" s="1501"/>
      <c r="K581" s="1501"/>
      <c r="L581" s="1501"/>
      <c r="O581" s="33" t="s">
        <v>206</v>
      </c>
      <c r="P581" s="1486"/>
      <c r="Q581" s="1486"/>
      <c r="R581" s="1486"/>
      <c r="T581" s="22"/>
      <c r="U581" t="s">
        <v>316</v>
      </c>
      <c r="Z581" s="1522">
        <v>9494381056</v>
      </c>
      <c r="AA581" s="1501"/>
      <c r="AB581" s="1501"/>
      <c r="AC581" s="1501"/>
      <c r="AD581" s="1501"/>
      <c r="AE581" s="1501"/>
      <c r="AH581" s="33" t="s">
        <v>206</v>
      </c>
      <c r="AI581" s="1486"/>
      <c r="AJ581" s="1486"/>
      <c r="AK581" s="1486"/>
      <c r="BB581" s="3"/>
      <c r="BC581" s="3"/>
    </row>
    <row r="582" spans="1:55" ht="13" customHeight="1">
      <c r="A582" s="22"/>
      <c r="B582" t="s">
        <v>18</v>
      </c>
      <c r="H582" s="1487" t="s">
        <v>2683</v>
      </c>
      <c r="I582" s="1487"/>
      <c r="J582" s="1487"/>
      <c r="K582" s="1487"/>
      <c r="L582" s="1487"/>
      <c r="M582" s="1487"/>
      <c r="N582" s="1487"/>
      <c r="O582" s="1487"/>
      <c r="P582" s="1487"/>
      <c r="Q582" s="1487"/>
      <c r="R582" s="1487"/>
      <c r="T582" s="22"/>
      <c r="U582" t="s">
        <v>18</v>
      </c>
      <c r="AA582" s="1487" t="s">
        <v>2724</v>
      </c>
      <c r="AB582" s="1487"/>
      <c r="AC582" s="1487"/>
      <c r="AD582" s="1487"/>
      <c r="AE582" s="1487"/>
      <c r="AF582" s="1487"/>
      <c r="AG582" s="1487"/>
      <c r="AH582" s="1487"/>
      <c r="AI582" s="1487"/>
      <c r="AJ582" s="1487"/>
      <c r="AK582" s="1487"/>
      <c r="BB582" s="3"/>
      <c r="BC582" s="3"/>
    </row>
    <row r="583" spans="1:55" ht="13" customHeight="1">
      <c r="A583" s="22"/>
      <c r="B583" t="s">
        <v>20</v>
      </c>
      <c r="N583" s="1476" t="s">
        <v>545</v>
      </c>
      <c r="O583" s="1476"/>
      <c r="T583" s="22"/>
      <c r="U583" t="s">
        <v>20</v>
      </c>
      <c r="AG583" s="1476" t="s">
        <v>545</v>
      </c>
      <c r="AH583" s="1476"/>
      <c r="BB583" s="3"/>
      <c r="BC583" s="3"/>
    </row>
    <row r="584" spans="1:55" ht="13" customHeight="1">
      <c r="A584" s="22"/>
      <c r="T584" s="22"/>
      <c r="BB584" s="3"/>
      <c r="BC584" s="3"/>
    </row>
    <row r="585" spans="1:55" ht="13" customHeight="1">
      <c r="A585" s="55" t="s">
        <v>763</v>
      </c>
      <c r="B585" t="s">
        <v>463</v>
      </c>
      <c r="G585" s="1494" t="str">
        <f>C558</f>
        <v>Vintage Housing Holdings, LLC</v>
      </c>
      <c r="H585" s="1494"/>
      <c r="I585" s="1494"/>
      <c r="J585" s="1494"/>
      <c r="K585" s="1494"/>
      <c r="L585" s="1494"/>
      <c r="M585" s="1494"/>
      <c r="N585" s="1494"/>
      <c r="O585" s="1494"/>
      <c r="P585" s="1494"/>
      <c r="Q585" s="1494"/>
      <c r="R585" s="1494"/>
      <c r="T585" s="55" t="s">
        <v>584</v>
      </c>
      <c r="U585" t="s">
        <v>463</v>
      </c>
      <c r="Z585" s="1494" t="str">
        <f>C559</f>
        <v>Vintage Housing Holdings, LLC</v>
      </c>
      <c r="AA585" s="1494"/>
      <c r="AB585" s="1494"/>
      <c r="AC585" s="1494"/>
      <c r="AD585" s="1494"/>
      <c r="AE585" s="1494"/>
      <c r="AF585" s="1494"/>
      <c r="AG585" s="1494"/>
      <c r="AH585" s="1494"/>
      <c r="AI585" s="1494"/>
      <c r="AJ585" s="1494"/>
      <c r="AK585" s="1494"/>
      <c r="BB585" s="3"/>
      <c r="BC585" s="3"/>
    </row>
    <row r="586" spans="1:55" ht="13" customHeight="1">
      <c r="A586" s="22"/>
      <c r="B586" t="s">
        <v>85</v>
      </c>
      <c r="G586" s="1487" t="s">
        <v>2615</v>
      </c>
      <c r="H586" s="1487"/>
      <c r="I586" s="1487"/>
      <c r="J586" s="1487"/>
      <c r="K586" s="1487"/>
      <c r="L586" s="1487"/>
      <c r="M586" s="1487"/>
      <c r="N586" s="1487"/>
      <c r="O586" s="1487"/>
      <c r="P586" s="1487"/>
      <c r="Q586" s="1487"/>
      <c r="R586" s="1487"/>
      <c r="T586" s="22"/>
      <c r="U586" t="s">
        <v>85</v>
      </c>
      <c r="Z586" s="1487" t="s">
        <v>2615</v>
      </c>
      <c r="AA586" s="1487"/>
      <c r="AB586" s="1487"/>
      <c r="AC586" s="1487"/>
      <c r="AD586" s="1487"/>
      <c r="AE586" s="1487"/>
      <c r="AF586" s="1487"/>
      <c r="AG586" s="1487"/>
      <c r="AH586" s="1487"/>
      <c r="AI586" s="1487"/>
      <c r="AJ586" s="1487"/>
      <c r="AK586" s="1487"/>
      <c r="BB586" s="3"/>
      <c r="BC586" s="3"/>
    </row>
    <row r="587" spans="1:55" ht="13" customHeight="1">
      <c r="A587" s="22"/>
      <c r="B587" t="s">
        <v>580</v>
      </c>
      <c r="G587" s="1487" t="s">
        <v>2653</v>
      </c>
      <c r="H587" s="1487"/>
      <c r="I587" s="1487"/>
      <c r="J587" s="1487"/>
      <c r="K587" s="1487"/>
      <c r="L587" s="1487"/>
      <c r="M587" s="1487"/>
      <c r="N587" s="1487"/>
      <c r="O587" s="1487"/>
      <c r="P587" s="1487"/>
      <c r="Q587" s="1487"/>
      <c r="R587" s="1487"/>
      <c r="T587" s="22"/>
      <c r="U587" t="s">
        <v>580</v>
      </c>
      <c r="Z587" s="1455" t="s">
        <v>2653</v>
      </c>
      <c r="AA587" s="1455"/>
      <c r="AB587" s="1455"/>
      <c r="AC587" s="1455"/>
      <c r="AD587" s="1455"/>
      <c r="AE587" s="1455"/>
      <c r="AF587" s="1455"/>
      <c r="AG587" s="1455"/>
      <c r="AH587" s="1455"/>
      <c r="AI587" s="1455"/>
      <c r="AJ587" s="1455"/>
      <c r="AK587" s="1455"/>
      <c r="BB587" s="3"/>
      <c r="BC587" s="3"/>
    </row>
    <row r="588" spans="1:55" ht="13" customHeight="1">
      <c r="A588" s="22"/>
      <c r="B588" t="s">
        <v>17</v>
      </c>
      <c r="G588" s="1487" t="s">
        <v>2727</v>
      </c>
      <c r="H588" s="1487"/>
      <c r="I588" s="1487"/>
      <c r="J588" s="1487"/>
      <c r="K588" s="1487"/>
      <c r="L588" s="1487"/>
      <c r="M588" s="1487"/>
      <c r="N588" s="1487"/>
      <c r="O588" s="1487"/>
      <c r="P588" s="1487"/>
      <c r="Q588" s="1487"/>
      <c r="R588" s="1487"/>
      <c r="T588" s="22"/>
      <c r="U588" t="s">
        <v>17</v>
      </c>
      <c r="Z588" s="1455" t="s">
        <v>2727</v>
      </c>
      <c r="AA588" s="1455"/>
      <c r="AB588" s="1455"/>
      <c r="AC588" s="1455"/>
      <c r="AD588" s="1455"/>
      <c r="AE588" s="1455"/>
      <c r="AF588" s="1455"/>
      <c r="AG588" s="1455"/>
      <c r="AH588" s="1455"/>
      <c r="AI588" s="1455"/>
      <c r="AJ588" s="1455"/>
      <c r="AK588" s="1455"/>
    </row>
    <row r="589" spans="1:55" ht="13" customHeight="1">
      <c r="A589" s="22"/>
      <c r="B589" t="s">
        <v>316</v>
      </c>
      <c r="G589" s="1522">
        <v>9497216775</v>
      </c>
      <c r="H589" s="1501"/>
      <c r="I589" s="1501"/>
      <c r="J589" s="1501"/>
      <c r="K589" s="1501"/>
      <c r="L589" s="1501"/>
      <c r="O589" s="33" t="s">
        <v>206</v>
      </c>
      <c r="P589" s="1486"/>
      <c r="Q589" s="1486"/>
      <c r="R589" s="1486"/>
      <c r="T589" s="22"/>
      <c r="U589" t="s">
        <v>316</v>
      </c>
      <c r="Z589" s="1522">
        <v>9497216775</v>
      </c>
      <c r="AA589" s="1501"/>
      <c r="AB589" s="1501"/>
      <c r="AC589" s="1501"/>
      <c r="AD589" s="1501"/>
      <c r="AE589" s="1501"/>
      <c r="AH589" s="33" t="s">
        <v>206</v>
      </c>
      <c r="AI589" s="1486"/>
      <c r="AJ589" s="1486"/>
      <c r="AK589" s="1486"/>
      <c r="AZ589" s="3"/>
      <c r="BA589" s="3"/>
      <c r="BB589" s="3"/>
      <c r="BC589" s="3"/>
    </row>
    <row r="590" spans="1:55" ht="13" customHeight="1">
      <c r="A590" s="22"/>
      <c r="B590" t="s">
        <v>18</v>
      </c>
      <c r="H590" s="1487" t="s">
        <v>2728</v>
      </c>
      <c r="I590" s="1487"/>
      <c r="J590" s="1487"/>
      <c r="K590" s="1487"/>
      <c r="L590" s="1487"/>
      <c r="M590" s="1487"/>
      <c r="N590" s="1487"/>
      <c r="O590" s="1487"/>
      <c r="P590" s="1487"/>
      <c r="Q590" s="1487"/>
      <c r="R590" s="1487"/>
      <c r="T590" s="22"/>
      <c r="U590" t="s">
        <v>18</v>
      </c>
      <c r="AA590" s="1487" t="s">
        <v>2729</v>
      </c>
      <c r="AB590" s="1487"/>
      <c r="AC590" s="1487"/>
      <c r="AD590" s="1487"/>
      <c r="AE590" s="1487"/>
      <c r="AF590" s="1487"/>
      <c r="AG590" s="1487"/>
      <c r="AH590" s="1487"/>
      <c r="AI590" s="1487"/>
      <c r="AJ590" s="1487"/>
      <c r="AK590" s="1487"/>
      <c r="AZ590" s="3"/>
      <c r="BA590" s="3"/>
      <c r="BB590" s="3"/>
      <c r="BC590" s="3"/>
    </row>
    <row r="591" spans="1:55" ht="13" customHeight="1">
      <c r="A591" s="22"/>
      <c r="B591" t="s">
        <v>20</v>
      </c>
      <c r="N591" s="1476" t="s">
        <v>545</v>
      </c>
      <c r="O591" s="1476"/>
      <c r="T591" s="22"/>
      <c r="U591" t="s">
        <v>20</v>
      </c>
      <c r="AG591" s="1476" t="s">
        <v>545</v>
      </c>
      <c r="AH591" s="1476"/>
      <c r="AZ591" s="3"/>
      <c r="BA591" s="3"/>
      <c r="BB591" s="3"/>
      <c r="BC591" s="3"/>
    </row>
    <row r="592" spans="1:55" ht="13" customHeight="1">
      <c r="A592" s="22"/>
      <c r="T592" s="22"/>
      <c r="AZ592" s="3"/>
      <c r="BA592" s="3"/>
      <c r="BB592" s="3"/>
      <c r="BC592" s="3"/>
    </row>
    <row r="593" spans="1:55" ht="13" customHeight="1">
      <c r="A593" s="55" t="s">
        <v>455</v>
      </c>
      <c r="B593" t="s">
        <v>463</v>
      </c>
      <c r="G593" s="1494" t="str">
        <f>C560</f>
        <v>Vintage Housing Development, Inc.</v>
      </c>
      <c r="H593" s="1494"/>
      <c r="I593" s="1494"/>
      <c r="J593" s="1494"/>
      <c r="K593" s="1494"/>
      <c r="L593" s="1494"/>
      <c r="M593" s="1494"/>
      <c r="N593" s="1494"/>
      <c r="O593" s="1494"/>
      <c r="P593" s="1494"/>
      <c r="Q593" s="1494"/>
      <c r="R593" s="1494"/>
      <c r="T593" s="55" t="s">
        <v>456</v>
      </c>
      <c r="U593" t="s">
        <v>463</v>
      </c>
      <c r="Z593" s="1494">
        <f>C561</f>
        <v>0</v>
      </c>
      <c r="AA593" s="1494"/>
      <c r="AB593" s="1494"/>
      <c r="AC593" s="1494"/>
      <c r="AD593" s="1494"/>
      <c r="AE593" s="1494"/>
      <c r="AF593" s="1494"/>
      <c r="AG593" s="1494"/>
      <c r="AH593" s="1494"/>
      <c r="AI593" s="1494"/>
      <c r="AJ593" s="1494"/>
      <c r="AK593" s="1494"/>
      <c r="AZ593" s="3"/>
      <c r="BA593" s="3"/>
      <c r="BB593" s="3"/>
      <c r="BC593" s="3"/>
    </row>
    <row r="594" spans="1:55" s="4" customFormat="1" ht="13" customHeight="1">
      <c r="A594" s="22"/>
      <c r="B594" t="s">
        <v>85</v>
      </c>
      <c r="C594"/>
      <c r="D594"/>
      <c r="E594"/>
      <c r="F594"/>
      <c r="G594" s="1487" t="s">
        <v>2615</v>
      </c>
      <c r="H594" s="1487"/>
      <c r="I594" s="1487"/>
      <c r="J594" s="1487"/>
      <c r="K594" s="1487"/>
      <c r="L594" s="1487"/>
      <c r="M594" s="1487"/>
      <c r="N594" s="1487"/>
      <c r="O594" s="1487"/>
      <c r="P594" s="1487"/>
      <c r="Q594" s="1487"/>
      <c r="R594" s="1487"/>
      <c r="S594"/>
      <c r="T594" s="22"/>
      <c r="U594" t="s">
        <v>85</v>
      </c>
      <c r="V594"/>
      <c r="W594"/>
      <c r="X594"/>
      <c r="Y594"/>
      <c r="Z594" s="1487"/>
      <c r="AA594" s="1487"/>
      <c r="AB594" s="1487"/>
      <c r="AC594" s="1487"/>
      <c r="AD594" s="1487"/>
      <c r="AE594" s="1487"/>
      <c r="AF594" s="1487"/>
      <c r="AG594" s="1487"/>
      <c r="AH594" s="1487"/>
      <c r="AI594" s="1487"/>
      <c r="AJ594" s="1487"/>
      <c r="AK594" s="1487"/>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87" t="s">
        <v>2653</v>
      </c>
      <c r="H595" s="1487"/>
      <c r="I595" s="1487"/>
      <c r="J595" s="1487"/>
      <c r="K595" s="1487"/>
      <c r="L595" s="1487"/>
      <c r="M595" s="1487"/>
      <c r="N595" s="1487"/>
      <c r="O595" s="1487"/>
      <c r="P595" s="1487"/>
      <c r="Q595" s="1487"/>
      <c r="R595" s="1487"/>
      <c r="S595"/>
      <c r="T595" s="22"/>
      <c r="U595" t="s">
        <v>580</v>
      </c>
      <c r="V595"/>
      <c r="W595"/>
      <c r="X595"/>
      <c r="Y595"/>
      <c r="Z595" s="1455"/>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87" t="s">
        <v>2715</v>
      </c>
      <c r="H596" s="1487"/>
      <c r="I596" s="1487"/>
      <c r="J596" s="1487"/>
      <c r="K596" s="1487"/>
      <c r="L596" s="1487"/>
      <c r="M596" s="1487"/>
      <c r="N596" s="1487"/>
      <c r="O596" s="1487"/>
      <c r="P596" s="1487"/>
      <c r="Q596" s="1487"/>
      <c r="R596" s="1487"/>
      <c r="S596"/>
      <c r="T596" s="22"/>
      <c r="U596" t="s">
        <v>17</v>
      </c>
      <c r="V596"/>
      <c r="W596"/>
      <c r="X596"/>
      <c r="Y596"/>
      <c r="Z596" s="1455"/>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22" t="s">
        <v>2655</v>
      </c>
      <c r="H597" s="1501"/>
      <c r="I597" s="1501"/>
      <c r="J597" s="1501"/>
      <c r="K597" s="1501"/>
      <c r="L597" s="1501"/>
      <c r="M597"/>
      <c r="N597"/>
      <c r="O597" s="33" t="s">
        <v>206</v>
      </c>
      <c r="P597" s="1486"/>
      <c r="Q597" s="1486"/>
      <c r="R597" s="1486"/>
      <c r="S597"/>
      <c r="T597" s="22"/>
      <c r="U597" t="s">
        <v>316</v>
      </c>
      <c r="V597"/>
      <c r="W597"/>
      <c r="X597"/>
      <c r="Y597"/>
      <c r="Z597" s="1501"/>
      <c r="AA597" s="1501"/>
      <c r="AB597" s="1501"/>
      <c r="AC597" s="1501"/>
      <c r="AD597" s="1501"/>
      <c r="AE597" s="1501"/>
      <c r="AF597"/>
      <c r="AG597"/>
      <c r="AH597" s="33" t="s">
        <v>206</v>
      </c>
      <c r="AI597" s="1486"/>
      <c r="AJ597" s="1486"/>
      <c r="AK597" s="148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87" t="s">
        <v>2320</v>
      </c>
      <c r="I598" s="1487"/>
      <c r="J598" s="1487"/>
      <c r="K598" s="1487"/>
      <c r="L598" s="1487"/>
      <c r="M598" s="1487"/>
      <c r="N598" s="1487"/>
      <c r="O598" s="1487"/>
      <c r="P598" s="1487"/>
      <c r="Q598" s="1487"/>
      <c r="R598" s="1487"/>
      <c r="S598"/>
      <c r="T598" s="22"/>
      <c r="U598" t="s">
        <v>18</v>
      </c>
      <c r="V598"/>
      <c r="W598"/>
      <c r="X598"/>
      <c r="Y598"/>
      <c r="Z598"/>
      <c r="AA598" s="1487"/>
      <c r="AB598" s="1487"/>
      <c r="AC598" s="1487"/>
      <c r="AD598" s="1487"/>
      <c r="AE598" s="1487"/>
      <c r="AF598" s="1487"/>
      <c r="AG598" s="1487"/>
      <c r="AH598" s="1487"/>
      <c r="AI598" s="1487"/>
      <c r="AJ598" s="1487"/>
      <c r="AK598" s="1487"/>
      <c r="AL598"/>
      <c r="AM598"/>
      <c r="AN598"/>
      <c r="AO598"/>
      <c r="AP598"/>
      <c r="AQ598"/>
      <c r="AR598"/>
      <c r="AS598"/>
      <c r="AT598"/>
      <c r="AU598"/>
      <c r="AV598"/>
      <c r="AW598"/>
      <c r="AX598"/>
      <c r="AY598"/>
      <c r="BB598" s="3"/>
      <c r="BC598" s="3"/>
    </row>
    <row r="599" spans="1:55" ht="13" customHeight="1">
      <c r="A599" s="22"/>
      <c r="B599" t="s">
        <v>20</v>
      </c>
      <c r="N599" s="1476" t="s">
        <v>545</v>
      </c>
      <c r="O599" s="1476"/>
      <c r="T599" s="22"/>
      <c r="U599" t="s">
        <v>20</v>
      </c>
      <c r="AG599" s="1476" t="s">
        <v>669</v>
      </c>
      <c r="AH599" s="1476"/>
      <c r="BB599" s="3"/>
      <c r="BC599" s="3"/>
    </row>
    <row r="600" spans="1:55" ht="13" customHeight="1">
      <c r="A600" s="22"/>
      <c r="T600" s="22"/>
      <c r="BB600" s="3"/>
      <c r="BC600" s="3"/>
    </row>
    <row r="601" spans="1:55" ht="13" customHeight="1">
      <c r="A601" s="55" t="s">
        <v>461</v>
      </c>
      <c r="B601" t="s">
        <v>463</v>
      </c>
      <c r="G601" s="1494">
        <f>C562</f>
        <v>0</v>
      </c>
      <c r="H601" s="1494"/>
      <c r="I601" s="1494"/>
      <c r="J601" s="1494"/>
      <c r="K601" s="1494"/>
      <c r="L601" s="1494"/>
      <c r="M601" s="1494"/>
      <c r="N601" s="1494"/>
      <c r="O601" s="1494"/>
      <c r="P601" s="1494"/>
      <c r="Q601" s="1494"/>
      <c r="R601" s="1494"/>
      <c r="T601" s="55" t="s">
        <v>646</v>
      </c>
      <c r="U601" t="s">
        <v>463</v>
      </c>
      <c r="Z601" s="1494">
        <f>C563</f>
        <v>0</v>
      </c>
      <c r="AA601" s="1494"/>
      <c r="AB601" s="1494"/>
      <c r="AC601" s="1494"/>
      <c r="AD601" s="1494"/>
      <c r="AE601" s="1494"/>
      <c r="AF601" s="1494"/>
      <c r="AG601" s="1494"/>
      <c r="AH601" s="1494"/>
      <c r="AI601" s="1494"/>
      <c r="AJ601" s="1494"/>
      <c r="AK601" s="1494"/>
      <c r="BB601" s="3"/>
      <c r="BC601" s="3"/>
    </row>
    <row r="602" spans="1:55" ht="13" customHeight="1">
      <c r="A602" s="22"/>
      <c r="B602" t="s">
        <v>85</v>
      </c>
      <c r="G602" s="1487"/>
      <c r="H602" s="1487"/>
      <c r="I602" s="1487"/>
      <c r="J602" s="1487"/>
      <c r="K602" s="1487"/>
      <c r="L602" s="1487"/>
      <c r="M602" s="1487"/>
      <c r="N602" s="1487"/>
      <c r="O602" s="1487"/>
      <c r="P602" s="1487"/>
      <c r="Q602" s="1487"/>
      <c r="R602" s="1487"/>
      <c r="T602" s="22"/>
      <c r="U602" t="s">
        <v>85</v>
      </c>
      <c r="Z602" s="1487"/>
      <c r="AA602" s="1487"/>
      <c r="AB602" s="1487"/>
      <c r="AC602" s="1487"/>
      <c r="AD602" s="1487"/>
      <c r="AE602" s="1487"/>
      <c r="AF602" s="1487"/>
      <c r="AG602" s="1487"/>
      <c r="AH602" s="1487"/>
      <c r="AI602" s="1487"/>
      <c r="AJ602" s="1487"/>
      <c r="AK602" s="1487"/>
      <c r="AZ602" s="3"/>
      <c r="BA602" s="3"/>
      <c r="BB602" s="3"/>
      <c r="BC602" s="3"/>
    </row>
    <row r="603" spans="1:55" ht="13" customHeight="1">
      <c r="A603" s="22"/>
      <c r="B603" t="s">
        <v>580</v>
      </c>
      <c r="G603" s="1487"/>
      <c r="H603" s="1487"/>
      <c r="I603" s="1487"/>
      <c r="J603" s="1487"/>
      <c r="K603" s="1487"/>
      <c r="L603" s="1487"/>
      <c r="M603" s="1487"/>
      <c r="N603" s="1487"/>
      <c r="O603" s="1487"/>
      <c r="P603" s="1487"/>
      <c r="Q603" s="1487"/>
      <c r="R603" s="1487"/>
      <c r="T603" s="22"/>
      <c r="U603" t="s">
        <v>580</v>
      </c>
      <c r="Z603" s="1455"/>
      <c r="AA603" s="1455"/>
      <c r="AB603" s="1455"/>
      <c r="AC603" s="1455"/>
      <c r="AD603" s="1455"/>
      <c r="AE603" s="1455"/>
      <c r="AF603" s="1455"/>
      <c r="AG603" s="1455"/>
      <c r="AH603" s="1455"/>
      <c r="AI603" s="1455"/>
      <c r="AJ603" s="1455"/>
      <c r="AK603" s="1455"/>
      <c r="AZ603" s="3"/>
      <c r="BA603" s="3"/>
      <c r="BB603" s="3"/>
      <c r="BC603" s="3"/>
    </row>
    <row r="604" spans="1:55" ht="13" customHeight="1">
      <c r="A604" s="22"/>
      <c r="B604" t="s">
        <v>17</v>
      </c>
      <c r="G604" s="1487"/>
      <c r="H604" s="1487"/>
      <c r="I604" s="1487"/>
      <c r="J604" s="1487"/>
      <c r="K604" s="1487"/>
      <c r="L604" s="1487"/>
      <c r="M604" s="1487"/>
      <c r="N604" s="1487"/>
      <c r="O604" s="1487"/>
      <c r="P604" s="1487"/>
      <c r="Q604" s="1487"/>
      <c r="R604" s="1487"/>
      <c r="T604" s="22"/>
      <c r="U604" t="s">
        <v>17</v>
      </c>
      <c r="Z604" s="1455"/>
      <c r="AA604" s="1455"/>
      <c r="AB604" s="1455"/>
      <c r="AC604" s="1455"/>
      <c r="AD604" s="1455"/>
      <c r="AE604" s="1455"/>
      <c r="AF604" s="1455"/>
      <c r="AG604" s="1455"/>
      <c r="AH604" s="1455"/>
      <c r="AI604" s="1455"/>
      <c r="AJ604" s="1455"/>
      <c r="AK604" s="1455"/>
      <c r="AZ604" s="3"/>
      <c r="BA604" s="3"/>
      <c r="BB604" s="3"/>
      <c r="BC604" s="3"/>
    </row>
    <row r="605" spans="1:55" s="4" customFormat="1" ht="13" customHeight="1">
      <c r="A605" s="22"/>
      <c r="B605" t="s">
        <v>316</v>
      </c>
      <c r="C605"/>
      <c r="D605"/>
      <c r="E605"/>
      <c r="F605"/>
      <c r="G605" s="1501"/>
      <c r="H605" s="1501"/>
      <c r="I605" s="1501"/>
      <c r="J605" s="1501"/>
      <c r="K605" s="1501"/>
      <c r="L605" s="1501"/>
      <c r="M605"/>
      <c r="N605"/>
      <c r="O605" s="33" t="s">
        <v>206</v>
      </c>
      <c r="P605" s="1486"/>
      <c r="Q605" s="1486"/>
      <c r="R605" s="1486"/>
      <c r="S605"/>
      <c r="T605" s="22"/>
      <c r="U605" t="s">
        <v>316</v>
      </c>
      <c r="V605"/>
      <c r="W605"/>
      <c r="X605"/>
      <c r="Y605"/>
      <c r="Z605" s="1501"/>
      <c r="AA605" s="1501"/>
      <c r="AB605" s="1501"/>
      <c r="AC605" s="1501"/>
      <c r="AD605" s="1501"/>
      <c r="AE605" s="1501"/>
      <c r="AF605"/>
      <c r="AG605"/>
      <c r="AH605" s="33" t="s">
        <v>206</v>
      </c>
      <c r="AI605" s="1486"/>
      <c r="AJ605" s="1486"/>
      <c r="AK605" s="148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87"/>
      <c r="I606" s="1487"/>
      <c r="J606" s="1487"/>
      <c r="K606" s="1487"/>
      <c r="L606" s="1487"/>
      <c r="M606" s="1487"/>
      <c r="N606" s="1487"/>
      <c r="O606" s="1487"/>
      <c r="P606" s="1487"/>
      <c r="Q606" s="1487"/>
      <c r="R606" s="1487"/>
      <c r="S606"/>
      <c r="T606" s="22"/>
      <c r="U606" t="s">
        <v>18</v>
      </c>
      <c r="V606"/>
      <c r="W606"/>
      <c r="X606"/>
      <c r="Y606"/>
      <c r="Z606"/>
      <c r="AA606" s="1487"/>
      <c r="AB606" s="1487"/>
      <c r="AC606" s="1487"/>
      <c r="AD606" s="1487"/>
      <c r="AE606" s="1487"/>
      <c r="AF606" s="1487"/>
      <c r="AG606" s="1487"/>
      <c r="AH606" s="1487"/>
      <c r="AI606" s="1487"/>
      <c r="AJ606" s="1487"/>
      <c r="AK606" s="148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76" t="s">
        <v>669</v>
      </c>
      <c r="O607" s="1476"/>
      <c r="P607"/>
      <c r="Q607"/>
      <c r="R607"/>
      <c r="S607"/>
      <c r="T607" s="22"/>
      <c r="U607" t="s">
        <v>20</v>
      </c>
      <c r="V607"/>
      <c r="W607"/>
      <c r="X607"/>
      <c r="Y607"/>
      <c r="Z607"/>
      <c r="AA607"/>
      <c r="AB607"/>
      <c r="AC607"/>
      <c r="AD607"/>
      <c r="AE607"/>
      <c r="AF607"/>
      <c r="AG607" s="1476" t="s">
        <v>669</v>
      </c>
      <c r="AH607" s="147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94">
        <f>C564</f>
        <v>0</v>
      </c>
      <c r="H609" s="1494"/>
      <c r="I609" s="1494"/>
      <c r="J609" s="1494"/>
      <c r="K609" s="1494"/>
      <c r="L609" s="1494"/>
      <c r="M609" s="1494"/>
      <c r="N609" s="1494"/>
      <c r="O609" s="1494"/>
      <c r="P609" s="1494"/>
      <c r="Q609" s="1494"/>
      <c r="R609" s="1494"/>
      <c r="T609" s="55" t="s">
        <v>363</v>
      </c>
      <c r="U609" t="s">
        <v>463</v>
      </c>
      <c r="Z609" s="1494">
        <f>C565</f>
        <v>0</v>
      </c>
      <c r="AA609" s="1494"/>
      <c r="AB609" s="1494"/>
      <c r="AC609" s="1494"/>
      <c r="AD609" s="1494"/>
      <c r="AE609" s="1494"/>
      <c r="AF609" s="1494"/>
      <c r="AG609" s="1494"/>
      <c r="AH609" s="1494"/>
      <c r="AI609" s="1494"/>
      <c r="AJ609" s="1494"/>
      <c r="AK609" s="1494"/>
      <c r="AZ609" s="3"/>
      <c r="BA609" s="3"/>
      <c r="BB609" s="3"/>
      <c r="BC609" s="3"/>
    </row>
    <row r="610" spans="1:55" ht="13" customHeight="1">
      <c r="B610" t="s">
        <v>85</v>
      </c>
      <c r="G610" s="1487"/>
      <c r="H610" s="1487"/>
      <c r="I610" s="1487"/>
      <c r="J610" s="1487"/>
      <c r="K610" s="1487"/>
      <c r="L610" s="1487"/>
      <c r="M610" s="1487"/>
      <c r="N610" s="1487"/>
      <c r="O610" s="1487"/>
      <c r="P610" s="1487"/>
      <c r="Q610" s="1487"/>
      <c r="R610" s="1487"/>
      <c r="U610" t="s">
        <v>85</v>
      </c>
      <c r="Z610" s="1487"/>
      <c r="AA610" s="1487"/>
      <c r="AB610" s="1487"/>
      <c r="AC610" s="1487"/>
      <c r="AD610" s="1487"/>
      <c r="AE610" s="1487"/>
      <c r="AF610" s="1487"/>
      <c r="AG610" s="1487"/>
      <c r="AH610" s="1487"/>
      <c r="AI610" s="1487"/>
      <c r="AJ610" s="1487"/>
      <c r="AK610" s="1487"/>
      <c r="AZ610" s="3"/>
      <c r="BA610" s="3"/>
      <c r="BB610" s="3"/>
      <c r="BC610" s="3"/>
    </row>
    <row r="611" spans="1:55" ht="13" customHeight="1">
      <c r="B611" t="s">
        <v>580</v>
      </c>
      <c r="G611" s="1487"/>
      <c r="H611" s="1487"/>
      <c r="I611" s="1487"/>
      <c r="J611" s="1487"/>
      <c r="K611" s="1487"/>
      <c r="L611" s="1487"/>
      <c r="M611" s="1487"/>
      <c r="N611" s="1487"/>
      <c r="O611" s="1487"/>
      <c r="P611" s="1487"/>
      <c r="Q611" s="1487"/>
      <c r="R611" s="1487"/>
      <c r="U611" t="s">
        <v>580</v>
      </c>
      <c r="Z611" s="1455"/>
      <c r="AA611" s="1455"/>
      <c r="AB611" s="1455"/>
      <c r="AC611" s="1455"/>
      <c r="AD611" s="1455"/>
      <c r="AE611" s="1455"/>
      <c r="AF611" s="1455"/>
      <c r="AG611" s="1455"/>
      <c r="AH611" s="1455"/>
      <c r="AI611" s="1455"/>
      <c r="AJ611" s="1455"/>
      <c r="AK611" s="1455"/>
      <c r="AZ611" s="3"/>
      <c r="BA611" s="3"/>
      <c r="BB611" s="3"/>
      <c r="BC611" s="3"/>
    </row>
    <row r="612" spans="1:55" ht="13" customHeight="1">
      <c r="B612" t="s">
        <v>17</v>
      </c>
      <c r="G612" s="1487"/>
      <c r="H612" s="1487"/>
      <c r="I612" s="1487"/>
      <c r="J612" s="1487"/>
      <c r="K612" s="1487"/>
      <c r="L612" s="1487"/>
      <c r="M612" s="1487"/>
      <c r="N612" s="1487"/>
      <c r="O612" s="1487"/>
      <c r="P612" s="1487"/>
      <c r="Q612" s="1487"/>
      <c r="R612" s="1487"/>
      <c r="U612" t="s">
        <v>17</v>
      </c>
      <c r="Z612" s="1455"/>
      <c r="AA612" s="1455"/>
      <c r="AB612" s="1455"/>
      <c r="AC612" s="1455"/>
      <c r="AD612" s="1455"/>
      <c r="AE612" s="1455"/>
      <c r="AF612" s="1455"/>
      <c r="AG612" s="1455"/>
      <c r="AH612" s="1455"/>
      <c r="AI612" s="1455"/>
      <c r="AJ612" s="1455"/>
      <c r="AK612" s="1455"/>
      <c r="AZ612" s="3"/>
      <c r="BA612" s="3"/>
      <c r="BB612" s="3"/>
      <c r="BC612" s="3"/>
    </row>
    <row r="613" spans="1:55" ht="13" customHeight="1">
      <c r="B613" t="s">
        <v>316</v>
      </c>
      <c r="G613" s="1501"/>
      <c r="H613" s="1501"/>
      <c r="I613" s="1501"/>
      <c r="J613" s="1501"/>
      <c r="K613" s="1501"/>
      <c r="L613" s="1501"/>
      <c r="O613" s="33" t="s">
        <v>206</v>
      </c>
      <c r="P613" s="1486"/>
      <c r="Q613" s="1486"/>
      <c r="R613" s="1486"/>
      <c r="U613" t="s">
        <v>316</v>
      </c>
      <c r="Z613" s="1501"/>
      <c r="AA613" s="1501"/>
      <c r="AB613" s="1501"/>
      <c r="AC613" s="1501"/>
      <c r="AD613" s="1501"/>
      <c r="AE613" s="1501"/>
      <c r="AH613" s="33" t="s">
        <v>206</v>
      </c>
      <c r="AI613" s="1486"/>
      <c r="AJ613" s="1486"/>
      <c r="AK613" s="1486"/>
      <c r="AZ613" s="3"/>
      <c r="BA613" s="3"/>
      <c r="BB613" s="3"/>
      <c r="BC613" s="3"/>
    </row>
    <row r="614" spans="1:55" ht="13" customHeight="1">
      <c r="B614" t="s">
        <v>18</v>
      </c>
      <c r="H614" s="1487"/>
      <c r="I614" s="1487"/>
      <c r="J614" s="1487"/>
      <c r="K614" s="1487"/>
      <c r="L614" s="1487"/>
      <c r="M614" s="1487"/>
      <c r="N614" s="1487"/>
      <c r="O614" s="1487"/>
      <c r="P614" s="1487"/>
      <c r="Q614" s="1487"/>
      <c r="R614" s="1487"/>
      <c r="U614" t="s">
        <v>18</v>
      </c>
      <c r="AA614" s="1487"/>
      <c r="AB614" s="1487"/>
      <c r="AC614" s="1487"/>
      <c r="AD614" s="1487"/>
      <c r="AE614" s="1487"/>
      <c r="AF614" s="1487"/>
      <c r="AG614" s="1487"/>
      <c r="AH614" s="1487"/>
      <c r="AI614" s="1487"/>
      <c r="AJ614" s="1487"/>
      <c r="AK614" s="1487"/>
      <c r="AU614" s="899"/>
      <c r="AV614" s="899"/>
      <c r="AW614" s="899"/>
      <c r="AX614" s="899"/>
      <c r="AY614" s="899"/>
      <c r="AZ614" s="3"/>
      <c r="BA614" s="3"/>
      <c r="BB614" s="3"/>
      <c r="BC614" s="3"/>
    </row>
    <row r="615" spans="1:55" ht="13" customHeight="1">
      <c r="B615" t="s">
        <v>20</v>
      </c>
      <c r="N615" s="1476" t="s">
        <v>669</v>
      </c>
      <c r="O615" s="1476"/>
      <c r="U615" t="s">
        <v>20</v>
      </c>
      <c r="AG615" s="1476" t="s">
        <v>669</v>
      </c>
      <c r="AH615" s="1476"/>
      <c r="AU615" s="899"/>
      <c r="AV615" s="899"/>
      <c r="AW615" s="899"/>
      <c r="AX615" s="899"/>
      <c r="AY615" s="899"/>
      <c r="AZ615" s="3"/>
      <c r="BA615" s="3"/>
      <c r="BB615" s="3"/>
      <c r="BC615" s="3"/>
    </row>
    <row r="616" spans="1:55" ht="13" customHeight="1">
      <c r="AZ616" s="3"/>
      <c r="BA616" s="3"/>
      <c r="BB616" s="3"/>
      <c r="BC616" s="3"/>
    </row>
    <row r="617" spans="1:55" ht="13"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8" t="s">
        <v>2102</v>
      </c>
      <c r="C624" s="1678"/>
      <c r="D624" s="1678"/>
      <c r="E624" s="1678"/>
      <c r="F624" s="1678"/>
      <c r="G624" s="1678"/>
      <c r="H624" s="1678"/>
      <c r="I624" s="1678"/>
      <c r="J624" s="1678"/>
      <c r="K624" s="1678"/>
      <c r="L624" s="1678"/>
      <c r="M624" s="1679" t="s">
        <v>2103</v>
      </c>
      <c r="N624" s="1679"/>
      <c r="O624" s="1679"/>
      <c r="P624" s="1679"/>
      <c r="Q624" s="1679" t="s">
        <v>1852</v>
      </c>
      <c r="R624" s="1679"/>
      <c r="S624" s="1679"/>
      <c r="T624" s="1679" t="s">
        <v>1850</v>
      </c>
      <c r="U624" s="1679"/>
      <c r="V624" s="1679"/>
      <c r="W624" s="1677" t="s">
        <v>453</v>
      </c>
      <c r="X624" s="1677"/>
      <c r="Y624" s="1677"/>
      <c r="Z624" s="1417" t="s">
        <v>2132</v>
      </c>
      <c r="AA624" s="1417"/>
      <c r="AB624" s="1418"/>
      <c r="AC624" s="1683" t="s">
        <v>1676</v>
      </c>
      <c r="AD624" s="1684"/>
      <c r="AE624" s="1685"/>
      <c r="AF624" s="1416" t="s">
        <v>1930</v>
      </c>
      <c r="AG624" s="1417"/>
      <c r="AH624" s="1417"/>
      <c r="AI624" s="1417"/>
      <c r="AJ624" s="1418"/>
      <c r="AK624" s="1668" t="s">
        <v>1931</v>
      </c>
      <c r="AL624" s="1669"/>
      <c r="AM624" s="1669"/>
      <c r="AN624" s="1670"/>
      <c r="AO624" s="1679" t="s">
        <v>454</v>
      </c>
      <c r="AP624" s="1679"/>
      <c r="AQ624" s="1679"/>
      <c r="AR624" s="1679"/>
      <c r="AS624" s="1679"/>
      <c r="AU624" s="3"/>
      <c r="AZ624" s="3"/>
      <c r="BA624" s="3"/>
      <c r="BB624" s="3"/>
      <c r="BC624" s="3"/>
    </row>
    <row r="625" spans="2:157" ht="13" customHeight="1">
      <c r="B625" s="1678"/>
      <c r="C625" s="1678"/>
      <c r="D625" s="1678"/>
      <c r="E625" s="1678"/>
      <c r="F625" s="1678"/>
      <c r="G625" s="1678"/>
      <c r="H625" s="1678"/>
      <c r="I625" s="1678"/>
      <c r="J625" s="1678"/>
      <c r="K625" s="1678"/>
      <c r="L625" s="1678"/>
      <c r="M625" s="1679"/>
      <c r="N625" s="1679"/>
      <c r="O625" s="1679"/>
      <c r="P625" s="1679"/>
      <c r="Q625" s="1679"/>
      <c r="R625" s="1679"/>
      <c r="S625" s="1679"/>
      <c r="T625" s="1679"/>
      <c r="U625" s="1679"/>
      <c r="V625" s="1679"/>
      <c r="W625" s="1677"/>
      <c r="X625" s="1677"/>
      <c r="Y625" s="1677"/>
      <c r="Z625" s="1420"/>
      <c r="AA625" s="1420"/>
      <c r="AB625" s="1421"/>
      <c r="AC625" s="1686"/>
      <c r="AD625" s="1687"/>
      <c r="AE625" s="1688"/>
      <c r="AF625" s="1419"/>
      <c r="AG625" s="1420"/>
      <c r="AH625" s="1420"/>
      <c r="AI625" s="1420"/>
      <c r="AJ625" s="1421"/>
      <c r="AK625" s="1671"/>
      <c r="AL625" s="1672"/>
      <c r="AM625" s="1672"/>
      <c r="AN625" s="1673"/>
      <c r="AO625" s="1679"/>
      <c r="AP625" s="1679"/>
      <c r="AQ625" s="1679"/>
      <c r="AR625" s="1679"/>
      <c r="AS625" s="1679"/>
      <c r="AU625" s="3"/>
      <c r="AZ625" s="3"/>
      <c r="BA625" s="3"/>
      <c r="BB625" s="3"/>
      <c r="BC625" s="3"/>
      <c r="BD625" s="3"/>
    </row>
    <row r="626" spans="2:157" ht="13" customHeight="1">
      <c r="B626" s="1678"/>
      <c r="C626" s="1678"/>
      <c r="D626" s="1678"/>
      <c r="E626" s="1678"/>
      <c r="F626" s="1678"/>
      <c r="G626" s="1678"/>
      <c r="H626" s="1678"/>
      <c r="I626" s="1678"/>
      <c r="J626" s="1678"/>
      <c r="K626" s="1678"/>
      <c r="L626" s="1678"/>
      <c r="M626" s="1679"/>
      <c r="N626" s="1679"/>
      <c r="O626" s="1679"/>
      <c r="P626" s="1679"/>
      <c r="Q626" s="1679"/>
      <c r="R626" s="1679"/>
      <c r="S626" s="1679"/>
      <c r="T626" s="1679"/>
      <c r="U626" s="1679"/>
      <c r="V626" s="1679"/>
      <c r="W626" s="1677"/>
      <c r="X626" s="1677"/>
      <c r="Y626" s="1677"/>
      <c r="Z626" s="1423"/>
      <c r="AA626" s="1423"/>
      <c r="AB626" s="1424"/>
      <c r="AC626" s="1689"/>
      <c r="AD626" s="1690"/>
      <c r="AE626" s="1691"/>
      <c r="AF626" s="1422"/>
      <c r="AG626" s="1423"/>
      <c r="AH626" s="1423"/>
      <c r="AI626" s="1423"/>
      <c r="AJ626" s="1424"/>
      <c r="AK626" s="1674"/>
      <c r="AL626" s="1675"/>
      <c r="AM626" s="1675"/>
      <c r="AN626" s="1676"/>
      <c r="AO626" s="1679"/>
      <c r="AP626" s="1679"/>
      <c r="AQ626" s="1679"/>
      <c r="AR626" s="1679"/>
      <c r="AS626" s="1679"/>
      <c r="AT626" s="3"/>
      <c r="AU626" s="3"/>
      <c r="AZ626" s="3"/>
      <c r="BA626" s="3"/>
      <c r="BB626" s="3"/>
      <c r="BC626" s="3"/>
      <c r="BD626" s="3"/>
    </row>
    <row r="627" spans="2:157" ht="13" customHeight="1">
      <c r="B627" s="51" t="s">
        <v>112</v>
      </c>
      <c r="C627" s="1492" t="s">
        <v>2722</v>
      </c>
      <c r="D627" s="1492"/>
      <c r="E627" s="1492"/>
      <c r="F627" s="1492"/>
      <c r="G627" s="1492"/>
      <c r="H627" s="1492"/>
      <c r="I627" s="1492"/>
      <c r="J627" s="1492"/>
      <c r="K627" s="1492"/>
      <c r="L627" s="1492"/>
      <c r="M627" s="1493" t="s">
        <v>2119</v>
      </c>
      <c r="N627" s="1493"/>
      <c r="O627" s="1493"/>
      <c r="P627" s="1493"/>
      <c r="Q627" s="1550">
        <v>204</v>
      </c>
      <c r="R627" s="1550"/>
      <c r="S627" s="1619"/>
      <c r="T627" s="1618">
        <v>40</v>
      </c>
      <c r="U627" s="1550"/>
      <c r="V627" s="1619"/>
      <c r="W627" s="1503">
        <v>6.0999999999999999E-2</v>
      </c>
      <c r="X627" s="1504"/>
      <c r="Y627" s="1505"/>
      <c r="Z627" s="1489" t="s">
        <v>2131</v>
      </c>
      <c r="AA627" s="1490"/>
      <c r="AB627" s="1491"/>
      <c r="AC627" s="1399">
        <v>1</v>
      </c>
      <c r="AD627" s="1400"/>
      <c r="AE627" s="1401"/>
      <c r="AF627" s="1361">
        <v>3003487</v>
      </c>
      <c r="AG627" s="1362"/>
      <c r="AH627" s="1362"/>
      <c r="AI627" s="1362"/>
      <c r="AJ627" s="1363"/>
      <c r="AK627" s="1506"/>
      <c r="AL627" s="1507"/>
      <c r="AM627" s="1507"/>
      <c r="AN627" s="1508"/>
      <c r="AO627" s="1368">
        <v>44919307</v>
      </c>
      <c r="AP627" s="1368"/>
      <c r="AQ627" s="1368"/>
      <c r="AR627" s="1368"/>
      <c r="AS627" s="1368"/>
      <c r="AT627" s="3"/>
      <c r="AU627" s="3"/>
      <c r="AZ627" s="3"/>
      <c r="BA627" s="3"/>
      <c r="BB627" s="3"/>
      <c r="BC627" s="3"/>
      <c r="BD627" s="3"/>
    </row>
    <row r="628" spans="2:157" ht="13" customHeight="1">
      <c r="B628" s="52" t="s">
        <v>113</v>
      </c>
      <c r="C628" s="1492" t="s">
        <v>2652</v>
      </c>
      <c r="D628" s="1492"/>
      <c r="E628" s="1492"/>
      <c r="F628" s="1492"/>
      <c r="G628" s="1492"/>
      <c r="H628" s="1492"/>
      <c r="I628" s="1492"/>
      <c r="J628" s="1492"/>
      <c r="K628" s="1492"/>
      <c r="L628" s="1492"/>
      <c r="M628" s="1493" t="s">
        <v>2121</v>
      </c>
      <c r="N628" s="1493"/>
      <c r="O628" s="1493"/>
      <c r="P628" s="1493"/>
      <c r="Q628" s="1618"/>
      <c r="R628" s="1550"/>
      <c r="S628" s="1619"/>
      <c r="T628" s="1618"/>
      <c r="U628" s="1550"/>
      <c r="V628" s="1619"/>
      <c r="W628" s="1503"/>
      <c r="X628" s="1504"/>
      <c r="Y628" s="1505"/>
      <c r="Z628" s="1489" t="s">
        <v>1184</v>
      </c>
      <c r="AA628" s="1490"/>
      <c r="AB628" s="1491"/>
      <c r="AC628" s="1399"/>
      <c r="AD628" s="1400"/>
      <c r="AE628" s="1401"/>
      <c r="AF628" s="1361"/>
      <c r="AG628" s="1362"/>
      <c r="AH628" s="1362"/>
      <c r="AI628" s="1362"/>
      <c r="AJ628" s="1363"/>
      <c r="AK628" s="1506"/>
      <c r="AL628" s="1507"/>
      <c r="AM628" s="1507"/>
      <c r="AN628" s="1508"/>
      <c r="AO628" s="1378">
        <v>3809858</v>
      </c>
      <c r="AP628" s="1358"/>
      <c r="AQ628" s="1358"/>
      <c r="AR628" s="1358"/>
      <c r="AS628" s="1359"/>
      <c r="AT628" s="1148" t="str">
        <f>IF(AND(NOT(C627=""),C628="",NOT(C629="")),"!","")</f>
        <v/>
      </c>
      <c r="AU628" s="3"/>
      <c r="AZ628" s="3"/>
      <c r="BA628" s="3"/>
      <c r="BB628" s="3"/>
      <c r="BC628" s="3"/>
      <c r="BD628" s="3"/>
    </row>
    <row r="629" spans="2:157" ht="13" customHeight="1">
      <c r="B629" s="52" t="s">
        <v>119</v>
      </c>
      <c r="C629" s="1492" t="s">
        <v>2730</v>
      </c>
      <c r="D629" s="1492"/>
      <c r="E629" s="1492"/>
      <c r="F629" s="1492"/>
      <c r="G629" s="1492"/>
      <c r="H629" s="1492"/>
      <c r="I629" s="1492"/>
      <c r="J629" s="1492"/>
      <c r="K629" s="1492"/>
      <c r="L629" s="1492"/>
      <c r="M629" s="1493" t="s">
        <v>2106</v>
      </c>
      <c r="N629" s="1493"/>
      <c r="O629" s="1493"/>
      <c r="P629" s="1493"/>
      <c r="Q629" s="1618"/>
      <c r="R629" s="1550"/>
      <c r="S629" s="1619"/>
      <c r="T629" s="1618"/>
      <c r="U629" s="1550"/>
      <c r="V629" s="1619"/>
      <c r="W629" s="1503"/>
      <c r="X629" s="1504"/>
      <c r="Y629" s="1505"/>
      <c r="Z629" s="1489" t="s">
        <v>1184</v>
      </c>
      <c r="AA629" s="1490"/>
      <c r="AB629" s="1491"/>
      <c r="AC629" s="1399"/>
      <c r="AD629" s="1400"/>
      <c r="AE629" s="1401"/>
      <c r="AF629" s="1361"/>
      <c r="AG629" s="1362"/>
      <c r="AH629" s="1362"/>
      <c r="AI629" s="1362"/>
      <c r="AJ629" s="1363"/>
      <c r="AK629" s="1506"/>
      <c r="AL629" s="1507"/>
      <c r="AM629" s="1507"/>
      <c r="AN629" s="1508"/>
      <c r="AO629" s="1378">
        <v>8921592</v>
      </c>
      <c r="AP629" s="1358"/>
      <c r="AQ629" s="1358"/>
      <c r="AR629" s="1358"/>
      <c r="AS629" s="1359"/>
      <c r="AT629" s="1148" t="str">
        <f t="shared" ref="AT629:AT638" si="1">IF(AND(NOT(C628=""),C629="",NOT(C630="")),"!","")</f>
        <v/>
      </c>
      <c r="AU629" s="3"/>
      <c r="AZ629" s="3"/>
      <c r="BA629" s="3"/>
      <c r="BB629" s="3"/>
      <c r="BC629" s="3"/>
      <c r="BD629" s="3"/>
    </row>
    <row r="630" spans="2:157" ht="13" customHeight="1">
      <c r="B630" s="52" t="s">
        <v>581</v>
      </c>
      <c r="C630" s="1598"/>
      <c r="D630" s="1598"/>
      <c r="E630" s="1598"/>
      <c r="F630" s="1598"/>
      <c r="G630" s="1598"/>
      <c r="H630" s="1598"/>
      <c r="I630" s="1598"/>
      <c r="J630" s="1598"/>
      <c r="K630" s="1598"/>
      <c r="L630" s="1598"/>
      <c r="M630" s="1493" t="s">
        <v>1184</v>
      </c>
      <c r="N630" s="1493"/>
      <c r="O630" s="1493"/>
      <c r="P630" s="1493"/>
      <c r="Q630" s="1618"/>
      <c r="R630" s="1550"/>
      <c r="S630" s="1619"/>
      <c r="T630" s="1618"/>
      <c r="U630" s="1550"/>
      <c r="V630" s="1619"/>
      <c r="W630" s="1503"/>
      <c r="X630" s="1504"/>
      <c r="Y630" s="1505"/>
      <c r="Z630" s="1489" t="s">
        <v>1184</v>
      </c>
      <c r="AA630" s="1490"/>
      <c r="AB630" s="1491"/>
      <c r="AC630" s="1399"/>
      <c r="AD630" s="1400"/>
      <c r="AE630" s="1401"/>
      <c r="AF630" s="1361"/>
      <c r="AG630" s="1362"/>
      <c r="AH630" s="1362"/>
      <c r="AI630" s="1362"/>
      <c r="AJ630" s="1363"/>
      <c r="AK630" s="1506"/>
      <c r="AL630" s="1507"/>
      <c r="AM630" s="1507"/>
      <c r="AN630" s="1508"/>
      <c r="AO630" s="1378"/>
      <c r="AP630" s="1358"/>
      <c r="AQ630" s="1358"/>
      <c r="AR630" s="1358"/>
      <c r="AS630" s="1359"/>
      <c r="AT630" s="1148" t="str">
        <f t="shared" si="1"/>
        <v/>
      </c>
      <c r="AU630" s="3"/>
      <c r="AZ630" s="3"/>
      <c r="BA630" s="3"/>
      <c r="BB630" s="3"/>
      <c r="BC630" s="3"/>
      <c r="BD630" s="3"/>
    </row>
    <row r="631" spans="2:157" ht="13" customHeight="1">
      <c r="B631" s="52" t="s">
        <v>763</v>
      </c>
      <c r="C631" s="1598"/>
      <c r="D631" s="1598"/>
      <c r="E631" s="1598"/>
      <c r="F631" s="1598"/>
      <c r="G631" s="1598"/>
      <c r="H631" s="1598"/>
      <c r="I631" s="1598"/>
      <c r="J631" s="1598"/>
      <c r="K631" s="1598"/>
      <c r="L631" s="1598"/>
      <c r="M631" s="1493" t="s">
        <v>1184</v>
      </c>
      <c r="N631" s="1493"/>
      <c r="O631" s="1493"/>
      <c r="P631" s="1493"/>
      <c r="Q631" s="1618"/>
      <c r="R631" s="1550"/>
      <c r="S631" s="1619"/>
      <c r="T631" s="1618"/>
      <c r="U631" s="1550"/>
      <c r="V631" s="1619"/>
      <c r="W631" s="1503"/>
      <c r="X631" s="1504"/>
      <c r="Y631" s="1505"/>
      <c r="Z631" s="1489" t="s">
        <v>1184</v>
      </c>
      <c r="AA631" s="1490"/>
      <c r="AB631" s="1491"/>
      <c r="AC631" s="1399"/>
      <c r="AD631" s="1400"/>
      <c r="AE631" s="1401"/>
      <c r="AF631" s="1361"/>
      <c r="AG631" s="1362"/>
      <c r="AH631" s="1362"/>
      <c r="AI631" s="1362"/>
      <c r="AJ631" s="1363"/>
      <c r="AK631" s="1506"/>
      <c r="AL631" s="1507"/>
      <c r="AM631" s="1507"/>
      <c r="AN631" s="1508"/>
      <c r="AO631" s="1378"/>
      <c r="AP631" s="1358"/>
      <c r="AQ631" s="1358"/>
      <c r="AR631" s="1358"/>
      <c r="AS631" s="1359"/>
      <c r="AT631" s="1148" t="str">
        <f t="shared" si="1"/>
        <v/>
      </c>
      <c r="AU631" s="3"/>
      <c r="AZ631" s="3"/>
      <c r="BA631" s="3"/>
      <c r="BB631" s="3"/>
      <c r="BC631" s="3"/>
      <c r="BD631" s="3"/>
    </row>
    <row r="632" spans="2:157" ht="13" customHeight="1">
      <c r="B632" s="52" t="s">
        <v>584</v>
      </c>
      <c r="C632" s="1598"/>
      <c r="D632" s="1598"/>
      <c r="E632" s="1598"/>
      <c r="F632" s="1598"/>
      <c r="G632" s="1598"/>
      <c r="H632" s="1598"/>
      <c r="I632" s="1598"/>
      <c r="J632" s="1598"/>
      <c r="K632" s="1598"/>
      <c r="L632" s="1598"/>
      <c r="M632" s="1493" t="s">
        <v>1184</v>
      </c>
      <c r="N632" s="1493"/>
      <c r="O632" s="1493"/>
      <c r="P632" s="1493"/>
      <c r="Q632" s="1618"/>
      <c r="R632" s="1550"/>
      <c r="S632" s="1619"/>
      <c r="T632" s="1618"/>
      <c r="U632" s="1550"/>
      <c r="V632" s="1619"/>
      <c r="W632" s="1503"/>
      <c r="X632" s="1504"/>
      <c r="Y632" s="1505"/>
      <c r="Z632" s="1489" t="s">
        <v>1184</v>
      </c>
      <c r="AA632" s="1490"/>
      <c r="AB632" s="1491"/>
      <c r="AC632" s="1399"/>
      <c r="AD632" s="1400"/>
      <c r="AE632" s="1401"/>
      <c r="AF632" s="1361"/>
      <c r="AG632" s="1362"/>
      <c r="AH632" s="1362"/>
      <c r="AI632" s="1362"/>
      <c r="AJ632" s="1363"/>
      <c r="AK632" s="1506"/>
      <c r="AL632" s="1507"/>
      <c r="AM632" s="1507"/>
      <c r="AN632" s="1508"/>
      <c r="AO632" s="1378"/>
      <c r="AP632" s="1358"/>
      <c r="AQ632" s="1358"/>
      <c r="AR632" s="1358"/>
      <c r="AS632" s="1359"/>
      <c r="AT632" s="1148" t="str">
        <f t="shared" si="1"/>
        <v/>
      </c>
      <c r="AU632" s="3"/>
      <c r="AZ632" s="3"/>
      <c r="BA632" s="3"/>
      <c r="BB632" s="3"/>
      <c r="BC632" s="3"/>
      <c r="BD632" s="3"/>
    </row>
    <row r="633" spans="2:157" ht="13" customHeight="1">
      <c r="B633" s="52" t="s">
        <v>455</v>
      </c>
      <c r="C633" s="1598"/>
      <c r="D633" s="1598"/>
      <c r="E633" s="1598"/>
      <c r="F633" s="1598"/>
      <c r="G633" s="1598"/>
      <c r="H633" s="1598"/>
      <c r="I633" s="1598"/>
      <c r="J633" s="1598"/>
      <c r="K633" s="1598"/>
      <c r="L633" s="1598"/>
      <c r="M633" s="1493" t="s">
        <v>1184</v>
      </c>
      <c r="N633" s="1493"/>
      <c r="O633" s="1493"/>
      <c r="P633" s="1493"/>
      <c r="Q633" s="1618"/>
      <c r="R633" s="1550"/>
      <c r="S633" s="1619"/>
      <c r="T633" s="1618"/>
      <c r="U633" s="1550"/>
      <c r="V633" s="1619"/>
      <c r="W633" s="1503"/>
      <c r="X633" s="1504"/>
      <c r="Y633" s="1505"/>
      <c r="Z633" s="1489" t="s">
        <v>1184</v>
      </c>
      <c r="AA633" s="1490"/>
      <c r="AB633" s="1491"/>
      <c r="AC633" s="1399"/>
      <c r="AD633" s="1400"/>
      <c r="AE633" s="1401"/>
      <c r="AF633" s="1361"/>
      <c r="AG633" s="1362"/>
      <c r="AH633" s="1362"/>
      <c r="AI633" s="1362"/>
      <c r="AJ633" s="1363"/>
      <c r="AK633" s="1506"/>
      <c r="AL633" s="1507"/>
      <c r="AM633" s="1507"/>
      <c r="AN633" s="1508"/>
      <c r="AO633" s="1378"/>
      <c r="AP633" s="1358"/>
      <c r="AQ633" s="1358"/>
      <c r="AR633" s="1358"/>
      <c r="AS633" s="1359"/>
      <c r="AT633" s="1148" t="str">
        <f t="shared" si="1"/>
        <v/>
      </c>
      <c r="AU633" s="3"/>
      <c r="AV633" s="3"/>
      <c r="AW633" s="3"/>
      <c r="AX633" s="3"/>
      <c r="AY633" s="3"/>
      <c r="AZ633" s="3"/>
      <c r="BA633" s="3"/>
      <c r="BB633" s="3"/>
      <c r="BC633" s="3"/>
      <c r="BD633" s="3"/>
    </row>
    <row r="634" spans="2:157" ht="13" customHeight="1">
      <c r="B634" s="52" t="s">
        <v>456</v>
      </c>
      <c r="C634" s="1598"/>
      <c r="D634" s="1598"/>
      <c r="E634" s="1598"/>
      <c r="F634" s="1598"/>
      <c r="G634" s="1598"/>
      <c r="H634" s="1598"/>
      <c r="I634" s="1598"/>
      <c r="J634" s="1598"/>
      <c r="K634" s="1598"/>
      <c r="L634" s="1598"/>
      <c r="M634" s="1493" t="s">
        <v>1184</v>
      </c>
      <c r="N634" s="1493"/>
      <c r="O634" s="1493"/>
      <c r="P634" s="1493"/>
      <c r="Q634" s="1618"/>
      <c r="R634" s="1550"/>
      <c r="S634" s="1619"/>
      <c r="T634" s="1618"/>
      <c r="U634" s="1550"/>
      <c r="V634" s="1619"/>
      <c r="W634" s="1503"/>
      <c r="X634" s="1504"/>
      <c r="Y634" s="1505"/>
      <c r="Z634" s="1489" t="s">
        <v>1184</v>
      </c>
      <c r="AA634" s="1490"/>
      <c r="AB634" s="1491"/>
      <c r="AC634" s="1399"/>
      <c r="AD634" s="1400"/>
      <c r="AE634" s="1401"/>
      <c r="AF634" s="1361"/>
      <c r="AG634" s="1362"/>
      <c r="AH634" s="1362"/>
      <c r="AI634" s="1362"/>
      <c r="AJ634" s="1363"/>
      <c r="AK634" s="1506"/>
      <c r="AL634" s="1507"/>
      <c r="AM634" s="1507"/>
      <c r="AN634" s="1508"/>
      <c r="AO634" s="1378"/>
      <c r="AP634" s="1358"/>
      <c r="AQ634" s="1358"/>
      <c r="AR634" s="1358"/>
      <c r="AS634" s="1359"/>
      <c r="AT634" s="1148" t="str">
        <f t="shared" si="1"/>
        <v/>
      </c>
      <c r="AU634" s="3"/>
      <c r="AV634" s="3"/>
      <c r="AW634" s="3"/>
      <c r="AX634" s="3"/>
      <c r="AY634" s="3"/>
      <c r="AZ634" s="3"/>
      <c r="BA634" s="3" t="s">
        <v>1184</v>
      </c>
      <c r="BB634" s="3"/>
      <c r="BC634" s="3"/>
      <c r="BD634" s="3"/>
    </row>
    <row r="635" spans="2:157" ht="13" customHeight="1">
      <c r="B635" s="52" t="s">
        <v>461</v>
      </c>
      <c r="C635" s="1598"/>
      <c r="D635" s="1598"/>
      <c r="E635" s="1598"/>
      <c r="F635" s="1598"/>
      <c r="G635" s="1598"/>
      <c r="H635" s="1598"/>
      <c r="I635" s="1598"/>
      <c r="J635" s="1598"/>
      <c r="K635" s="1598"/>
      <c r="L635" s="1598"/>
      <c r="M635" s="1493" t="s">
        <v>1184</v>
      </c>
      <c r="N635" s="1493"/>
      <c r="O635" s="1493"/>
      <c r="P635" s="1493"/>
      <c r="Q635" s="1618"/>
      <c r="R635" s="1550"/>
      <c r="S635" s="1619"/>
      <c r="T635" s="1618"/>
      <c r="U635" s="1550"/>
      <c r="V635" s="1619"/>
      <c r="W635" s="1503"/>
      <c r="X635" s="1504"/>
      <c r="Y635" s="1505"/>
      <c r="Z635" s="1489" t="s">
        <v>1184</v>
      </c>
      <c r="AA635" s="1490"/>
      <c r="AB635" s="1491"/>
      <c r="AC635" s="1399"/>
      <c r="AD635" s="1400"/>
      <c r="AE635" s="1401"/>
      <c r="AF635" s="1361"/>
      <c r="AG635" s="1362"/>
      <c r="AH635" s="1362"/>
      <c r="AI635" s="1362"/>
      <c r="AJ635" s="1363"/>
      <c r="AK635" s="1506"/>
      <c r="AL635" s="1507"/>
      <c r="AM635" s="1507"/>
      <c r="AN635" s="1508"/>
      <c r="AO635" s="1378"/>
      <c r="AP635" s="1358"/>
      <c r="AQ635" s="1358"/>
      <c r="AR635" s="1358"/>
      <c r="AS635" s="135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5" t="e">
        <f t="shared" ref="DX635:DX669" si="2">EZ718*(CP718/$CP$753)</f>
        <v>#VALUE!</v>
      </c>
      <c r="DY635" s="1395"/>
      <c r="DZ635" s="1395"/>
      <c r="EA635" s="1395"/>
      <c r="EB635" s="1395"/>
      <c r="EC635" s="1395">
        <f t="shared" ref="EC635:EC669" si="3">FE718*(CU718/$CU$753)</f>
        <v>91.590909090909093</v>
      </c>
      <c r="ED635" s="1395"/>
      <c r="EE635" s="1395"/>
      <c r="EF635" s="1395"/>
      <c r="EG635" s="1395"/>
      <c r="EH635" s="1395" t="e">
        <f t="shared" ref="EH635:EH669" si="4">FJ718*(CZ718/$CZ$753)</f>
        <v>#VALUE!</v>
      </c>
      <c r="EI635" s="1395"/>
      <c r="EJ635" s="1395"/>
      <c r="EK635" s="1395"/>
      <c r="EL635" s="1395"/>
      <c r="EM635" s="1395" t="e">
        <f t="shared" ref="EM635:EM669" si="5">FO718*(DE718/$DE$753)</f>
        <v>#VALUE!</v>
      </c>
      <c r="EN635" s="1395"/>
      <c r="EO635" s="1395"/>
      <c r="EP635" s="1395"/>
      <c r="EQ635" s="1395"/>
      <c r="ER635" s="1395" t="e">
        <f t="shared" ref="ER635:ER669" si="6">FT718*(DJ718/$DJ$753)</f>
        <v>#VALUE!</v>
      </c>
      <c r="ES635" s="1395"/>
      <c r="ET635" s="1395"/>
      <c r="EU635" s="1395"/>
      <c r="EV635" s="1395"/>
      <c r="EW635" s="1395" t="e">
        <f t="shared" ref="EW635:EW669" si="7">FY718*(DO718/$DO$753)</f>
        <v>#VALUE!</v>
      </c>
      <c r="EX635" s="1395"/>
      <c r="EY635" s="1395"/>
      <c r="EZ635" s="1395"/>
      <c r="FA635" s="1395"/>
    </row>
    <row r="636" spans="2:157" ht="13" customHeight="1">
      <c r="B636" s="52" t="s">
        <v>646</v>
      </c>
      <c r="C636" s="1598"/>
      <c r="D636" s="1598"/>
      <c r="E636" s="1598"/>
      <c r="F636" s="1598"/>
      <c r="G636" s="1598"/>
      <c r="H636" s="1598"/>
      <c r="I636" s="1598"/>
      <c r="J636" s="1598"/>
      <c r="K636" s="1598"/>
      <c r="L636" s="1598"/>
      <c r="M636" s="1493" t="s">
        <v>1184</v>
      </c>
      <c r="N636" s="1493"/>
      <c r="O636" s="1493"/>
      <c r="P636" s="1493"/>
      <c r="Q636" s="1618"/>
      <c r="R636" s="1550"/>
      <c r="S636" s="1619"/>
      <c r="T636" s="1618"/>
      <c r="U636" s="1550"/>
      <c r="V636" s="1619"/>
      <c r="W636" s="1503"/>
      <c r="X636" s="1504"/>
      <c r="Y636" s="1505"/>
      <c r="Z636" s="1489" t="s">
        <v>1184</v>
      </c>
      <c r="AA636" s="1490"/>
      <c r="AB636" s="1491"/>
      <c r="AC636" s="1399"/>
      <c r="AD636" s="1400"/>
      <c r="AE636" s="1401"/>
      <c r="AF636" s="1361"/>
      <c r="AG636" s="1362"/>
      <c r="AH636" s="1362"/>
      <c r="AI636" s="1362"/>
      <c r="AJ636" s="1363"/>
      <c r="AK636" s="1506"/>
      <c r="AL636" s="1507"/>
      <c r="AM636" s="1507"/>
      <c r="AN636" s="1508"/>
      <c r="AO636" s="1378"/>
      <c r="AP636" s="1358"/>
      <c r="AQ636" s="1358"/>
      <c r="AR636" s="1358"/>
      <c r="AS636" s="135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95" t="e">
        <f t="shared" si="2"/>
        <v>#VALUE!</v>
      </c>
      <c r="DY636" s="1395"/>
      <c r="DZ636" s="1395"/>
      <c r="EA636" s="1395"/>
      <c r="EB636" s="1395"/>
      <c r="EC636" s="1395">
        <f t="shared" si="3"/>
        <v>152.65151515151516</v>
      </c>
      <c r="ED636" s="1395"/>
      <c r="EE636" s="1395"/>
      <c r="EF636" s="1395"/>
      <c r="EG636" s="1395"/>
      <c r="EH636" s="1395" t="e">
        <f t="shared" si="4"/>
        <v>#VALUE!</v>
      </c>
      <c r="EI636" s="1395"/>
      <c r="EJ636" s="1395"/>
      <c r="EK636" s="1395"/>
      <c r="EL636" s="1395"/>
      <c r="EM636" s="1395" t="e">
        <f t="shared" si="5"/>
        <v>#VALUE!</v>
      </c>
      <c r="EN636" s="1395"/>
      <c r="EO636" s="1395"/>
      <c r="EP636" s="1395"/>
      <c r="EQ636" s="1395"/>
      <c r="ER636" s="1395" t="e">
        <f t="shared" si="6"/>
        <v>#VALUE!</v>
      </c>
      <c r="ES636" s="1395"/>
      <c r="ET636" s="1395"/>
      <c r="EU636" s="1395"/>
      <c r="EV636" s="1395"/>
      <c r="EW636" s="1395" t="e">
        <f t="shared" si="7"/>
        <v>#VALUE!</v>
      </c>
      <c r="EX636" s="1395"/>
      <c r="EY636" s="1395"/>
      <c r="EZ636" s="1395"/>
      <c r="FA636" s="1395"/>
    </row>
    <row r="637" spans="2:157" ht="13" customHeight="1">
      <c r="B637" s="52" t="s">
        <v>362</v>
      </c>
      <c r="C637" s="1598"/>
      <c r="D637" s="1598"/>
      <c r="E637" s="1598"/>
      <c r="F637" s="1598"/>
      <c r="G637" s="1598"/>
      <c r="H637" s="1598"/>
      <c r="I637" s="1598"/>
      <c r="J637" s="1598"/>
      <c r="K637" s="1598"/>
      <c r="L637" s="1598"/>
      <c r="M637" s="1493" t="s">
        <v>1184</v>
      </c>
      <c r="N637" s="1493"/>
      <c r="O637" s="1493"/>
      <c r="P637" s="1493"/>
      <c r="Q637" s="1618"/>
      <c r="R637" s="1550"/>
      <c r="S637" s="1619"/>
      <c r="T637" s="1618"/>
      <c r="U637" s="1550"/>
      <c r="V637" s="1619"/>
      <c r="W637" s="1503"/>
      <c r="X637" s="1504"/>
      <c r="Y637" s="1505"/>
      <c r="Z637" s="1489" t="s">
        <v>1184</v>
      </c>
      <c r="AA637" s="1490"/>
      <c r="AB637" s="1491"/>
      <c r="AC637" s="1399"/>
      <c r="AD637" s="1400"/>
      <c r="AE637" s="1401"/>
      <c r="AF637" s="1361"/>
      <c r="AG637" s="1362"/>
      <c r="AH637" s="1362"/>
      <c r="AI637" s="1362"/>
      <c r="AJ637" s="1363"/>
      <c r="AK637" s="1506"/>
      <c r="AL637" s="1507"/>
      <c r="AM637" s="1507"/>
      <c r="AN637" s="1508"/>
      <c r="AO637" s="1378"/>
      <c r="AP637" s="1358"/>
      <c r="AQ637" s="1358"/>
      <c r="AR637" s="1358"/>
      <c r="AS637" s="135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95" t="e">
        <f t="shared" si="2"/>
        <v>#VALUE!</v>
      </c>
      <c r="DY637" s="1395"/>
      <c r="DZ637" s="1395"/>
      <c r="EA637" s="1395"/>
      <c r="EB637" s="1395"/>
      <c r="EC637" s="1395">
        <f t="shared" si="3"/>
        <v>1127.2727272727273</v>
      </c>
      <c r="ED637" s="1395"/>
      <c r="EE637" s="1395"/>
      <c r="EF637" s="1395"/>
      <c r="EG637" s="1395"/>
      <c r="EH637" s="1395" t="e">
        <f t="shared" si="4"/>
        <v>#VALUE!</v>
      </c>
      <c r="EI637" s="1395"/>
      <c r="EJ637" s="1395"/>
      <c r="EK637" s="1395"/>
      <c r="EL637" s="1395"/>
      <c r="EM637" s="1395" t="e">
        <f t="shared" si="5"/>
        <v>#VALUE!</v>
      </c>
      <c r="EN637" s="1395"/>
      <c r="EO637" s="1395"/>
      <c r="EP637" s="1395"/>
      <c r="EQ637" s="1395"/>
      <c r="ER637" s="1395" t="e">
        <f t="shared" si="6"/>
        <v>#VALUE!</v>
      </c>
      <c r="ES637" s="1395"/>
      <c r="ET637" s="1395"/>
      <c r="EU637" s="1395"/>
      <c r="EV637" s="1395"/>
      <c r="EW637" s="1395" t="e">
        <f t="shared" si="7"/>
        <v>#VALUE!</v>
      </c>
      <c r="EX637" s="1395"/>
      <c r="EY637" s="1395"/>
      <c r="EZ637" s="1395"/>
      <c r="FA637" s="1395"/>
    </row>
    <row r="638" spans="2:157" ht="13" customHeight="1">
      <c r="B638" s="52" t="s">
        <v>363</v>
      </c>
      <c r="C638" s="1598"/>
      <c r="D638" s="1598"/>
      <c r="E638" s="1598"/>
      <c r="F638" s="1598"/>
      <c r="G638" s="1598"/>
      <c r="H638" s="1598"/>
      <c r="I638" s="1598"/>
      <c r="J638" s="1598"/>
      <c r="K638" s="1598"/>
      <c r="L638" s="1598"/>
      <c r="M638" s="1493" t="s">
        <v>1184</v>
      </c>
      <c r="N638" s="1493"/>
      <c r="O638" s="1493"/>
      <c r="P638" s="1493"/>
      <c r="Q638" s="1618"/>
      <c r="R638" s="1550"/>
      <c r="S638" s="1619"/>
      <c r="T638" s="1618"/>
      <c r="U638" s="1550"/>
      <c r="V638" s="1619"/>
      <c r="W638" s="1503"/>
      <c r="X638" s="1504"/>
      <c r="Y638" s="1505"/>
      <c r="Z638" s="1489" t="s">
        <v>1184</v>
      </c>
      <c r="AA638" s="1490"/>
      <c r="AB638" s="1491"/>
      <c r="AC638" s="1399"/>
      <c r="AD638" s="1400"/>
      <c r="AE638" s="1401"/>
      <c r="AF638" s="1361"/>
      <c r="AG638" s="1362"/>
      <c r="AH638" s="1362"/>
      <c r="AI638" s="1362"/>
      <c r="AJ638" s="1363"/>
      <c r="AK638" s="1506"/>
      <c r="AL638" s="1507"/>
      <c r="AM638" s="1507"/>
      <c r="AN638" s="1508"/>
      <c r="AO638" s="1378"/>
      <c r="AP638" s="1358"/>
      <c r="AQ638" s="1358"/>
      <c r="AR638" s="1358"/>
      <c r="AS638" s="135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95" t="e">
        <f t="shared" si="2"/>
        <v>#VALUE!</v>
      </c>
      <c r="DY638" s="1395"/>
      <c r="DZ638" s="1395"/>
      <c r="EA638" s="1395"/>
      <c r="EB638" s="1395"/>
      <c r="EC638" s="1395">
        <f t="shared" si="3"/>
        <v>488.68181818181819</v>
      </c>
      <c r="ED638" s="1395"/>
      <c r="EE638" s="1395"/>
      <c r="EF638" s="1395"/>
      <c r="EG638" s="1395"/>
      <c r="EH638" s="1395" t="e">
        <f t="shared" si="4"/>
        <v>#VALUE!</v>
      </c>
      <c r="EI638" s="1395"/>
      <c r="EJ638" s="1395"/>
      <c r="EK638" s="1395"/>
      <c r="EL638" s="1395"/>
      <c r="EM638" s="1395" t="e">
        <f t="shared" si="5"/>
        <v>#VALUE!</v>
      </c>
      <c r="EN638" s="1395"/>
      <c r="EO638" s="1395"/>
      <c r="EP638" s="1395"/>
      <c r="EQ638" s="1395"/>
      <c r="ER638" s="1395" t="e">
        <f t="shared" si="6"/>
        <v>#VALUE!</v>
      </c>
      <c r="ES638" s="1395"/>
      <c r="ET638" s="1395"/>
      <c r="EU638" s="1395"/>
      <c r="EV638" s="1395"/>
      <c r="EW638" s="1395" t="e">
        <f t="shared" si="7"/>
        <v>#VALUE!</v>
      </c>
      <c r="EX638" s="1395"/>
      <c r="EY638" s="1395"/>
      <c r="EZ638" s="1395"/>
      <c r="FA638" s="1395"/>
    </row>
    <row r="639" spans="2:157" ht="13" customHeight="1">
      <c r="B639" s="1336" t="s">
        <v>128</v>
      </c>
      <c r="C639" s="1337"/>
      <c r="D639" s="1337"/>
      <c r="E639" s="1337"/>
      <c r="F639" s="1337"/>
      <c r="G639" s="1337"/>
      <c r="H639" s="1337"/>
      <c r="I639" s="1337"/>
      <c r="J639" s="1337"/>
      <c r="K639" s="1337"/>
      <c r="L639" s="1337"/>
      <c r="M639" s="1337"/>
      <c r="N639" s="1337"/>
      <c r="O639" s="1337"/>
      <c r="P639" s="1337"/>
      <c r="Q639" s="1337"/>
      <c r="R639" s="1337"/>
      <c r="S639" s="1337"/>
      <c r="T639" s="1337"/>
      <c r="U639" s="1337"/>
      <c r="V639" s="1337"/>
      <c r="W639" s="1337"/>
      <c r="X639" s="1337"/>
      <c r="Y639" s="1337"/>
      <c r="Z639" s="1337"/>
      <c r="AA639" s="1337"/>
      <c r="AB639" s="1337"/>
      <c r="AC639" s="1337"/>
      <c r="AD639" s="1337"/>
      <c r="AE639" s="1337"/>
      <c r="AF639" s="1337"/>
      <c r="AG639" s="1337"/>
      <c r="AH639" s="1337"/>
      <c r="AI639" s="1337"/>
      <c r="AJ639" s="1337"/>
      <c r="AK639" s="1337"/>
      <c r="AL639" s="1337"/>
      <c r="AM639" s="1337"/>
      <c r="AN639" s="1338"/>
      <c r="AO639" s="1498">
        <f>SUM(AO627:AR638)</f>
        <v>57650757</v>
      </c>
      <c r="AP639" s="1499"/>
      <c r="AQ639" s="1499"/>
      <c r="AR639" s="1499"/>
      <c r="AS639" s="150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5" t="e">
        <f t="shared" si="2"/>
        <v>#VALUE!</v>
      </c>
      <c r="DY639" s="1395"/>
      <c r="DZ639" s="1395"/>
      <c r="EA639" s="1395"/>
      <c r="EB639" s="1395"/>
      <c r="EC639" s="1395" t="e">
        <f t="shared" si="3"/>
        <v>#VALUE!</v>
      </c>
      <c r="ED639" s="1395"/>
      <c r="EE639" s="1395"/>
      <c r="EF639" s="1395"/>
      <c r="EG639" s="1395"/>
      <c r="EH639" s="1395">
        <f t="shared" si="4"/>
        <v>118.36363636363637</v>
      </c>
      <c r="EI639" s="1395"/>
      <c r="EJ639" s="1395"/>
      <c r="EK639" s="1395"/>
      <c r="EL639" s="1395"/>
      <c r="EM639" s="1395" t="e">
        <f t="shared" si="5"/>
        <v>#VALUE!</v>
      </c>
      <c r="EN639" s="1395"/>
      <c r="EO639" s="1395"/>
      <c r="EP639" s="1395"/>
      <c r="EQ639" s="1395"/>
      <c r="ER639" s="1395" t="e">
        <f t="shared" si="6"/>
        <v>#VALUE!</v>
      </c>
      <c r="ES639" s="1395"/>
      <c r="ET639" s="1395"/>
      <c r="EU639" s="1395"/>
      <c r="EV639" s="1395"/>
      <c r="EW639" s="1395" t="e">
        <f t="shared" si="7"/>
        <v>#VALUE!</v>
      </c>
      <c r="EX639" s="1395"/>
      <c r="EY639" s="1395"/>
      <c r="EZ639" s="1395"/>
      <c r="FA639" s="1395"/>
    </row>
    <row r="640" spans="2:157" ht="13" customHeight="1">
      <c r="B640" s="1336" t="s">
        <v>267</v>
      </c>
      <c r="C640" s="1337"/>
      <c r="D640" s="1337"/>
      <c r="E640" s="1337"/>
      <c r="F640" s="1337"/>
      <c r="G640" s="1337"/>
      <c r="H640" s="1337"/>
      <c r="I640" s="1337"/>
      <c r="J640" s="1337"/>
      <c r="K640" s="1337"/>
      <c r="L640" s="1337"/>
      <c r="M640" s="1337"/>
      <c r="N640" s="1337"/>
      <c r="O640" s="1337"/>
      <c r="P640" s="1337"/>
      <c r="Q640" s="1337"/>
      <c r="R640" s="1337"/>
      <c r="S640" s="1337"/>
      <c r="T640" s="1337"/>
      <c r="U640" s="1337"/>
      <c r="V640" s="1337"/>
      <c r="W640" s="1337"/>
      <c r="X640" s="1337"/>
      <c r="Y640" s="1337"/>
      <c r="Z640" s="1337"/>
      <c r="AA640" s="1337"/>
      <c r="AB640" s="1337"/>
      <c r="AC640" s="1337"/>
      <c r="AD640" s="1337"/>
      <c r="AE640" s="1337"/>
      <c r="AF640" s="1337"/>
      <c r="AG640" s="1337"/>
      <c r="AH640" s="1337"/>
      <c r="AI640" s="1337"/>
      <c r="AJ640" s="1337"/>
      <c r="AK640" s="1337"/>
      <c r="AL640" s="1337"/>
      <c r="AM640" s="1337"/>
      <c r="AN640" s="1338"/>
      <c r="AO640" s="1378">
        <v>33246672</v>
      </c>
      <c r="AP640" s="1358"/>
      <c r="AQ640" s="1358"/>
      <c r="AR640" s="1358"/>
      <c r="AS640" s="135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5" t="e">
        <f t="shared" si="2"/>
        <v>#VALUE!</v>
      </c>
      <c r="DY640" s="1395"/>
      <c r="DZ640" s="1395"/>
      <c r="EA640" s="1395"/>
      <c r="EB640" s="1395"/>
      <c r="EC640" s="1395" t="e">
        <f t="shared" si="3"/>
        <v>#VALUE!</v>
      </c>
      <c r="ED640" s="1395"/>
      <c r="EE640" s="1395"/>
      <c r="EF640" s="1395"/>
      <c r="EG640" s="1395"/>
      <c r="EH640" s="1395">
        <f t="shared" si="4"/>
        <v>197.37878787878788</v>
      </c>
      <c r="EI640" s="1395"/>
      <c r="EJ640" s="1395"/>
      <c r="EK640" s="1395"/>
      <c r="EL640" s="1395"/>
      <c r="EM640" s="1395" t="e">
        <f t="shared" si="5"/>
        <v>#VALUE!</v>
      </c>
      <c r="EN640" s="1395"/>
      <c r="EO640" s="1395"/>
      <c r="EP640" s="1395"/>
      <c r="EQ640" s="1395"/>
      <c r="ER640" s="1395" t="e">
        <f t="shared" si="6"/>
        <v>#VALUE!</v>
      </c>
      <c r="ES640" s="1395"/>
      <c r="ET640" s="1395"/>
      <c r="EU640" s="1395"/>
      <c r="EV640" s="1395"/>
      <c r="EW640" s="1395" t="e">
        <f t="shared" si="7"/>
        <v>#VALUE!</v>
      </c>
      <c r="EX640" s="1395"/>
      <c r="EY640" s="1395"/>
      <c r="EZ640" s="1395"/>
      <c r="FA640" s="1395"/>
    </row>
    <row r="641" spans="1:157" ht="13" customHeight="1">
      <c r="B641" s="1833" t="s">
        <v>268</v>
      </c>
      <c r="C641" s="1488"/>
      <c r="D641" s="1488"/>
      <c r="E641" s="1488"/>
      <c r="F641" s="1488"/>
      <c r="G641" s="1488"/>
      <c r="H641" s="1488"/>
      <c r="I641" s="1488"/>
      <c r="J641" s="1488"/>
      <c r="K641" s="1488"/>
      <c r="L641" s="1488"/>
      <c r="M641" s="1488"/>
      <c r="N641" s="1488"/>
      <c r="O641" s="1488"/>
      <c r="P641" s="1488"/>
      <c r="Q641" s="1488"/>
      <c r="R641" s="1488"/>
      <c r="S641" s="1488"/>
      <c r="T641" s="1488"/>
      <c r="U641" s="1488"/>
      <c r="V641" s="1488"/>
      <c r="W641" s="1488"/>
      <c r="X641" s="1488"/>
      <c r="Y641" s="1488"/>
      <c r="Z641" s="1488"/>
      <c r="AA641" s="1488"/>
      <c r="AB641" s="1488"/>
      <c r="AC641" s="1488"/>
      <c r="AD641" s="1488"/>
      <c r="AE641" s="1488"/>
      <c r="AF641" s="1488"/>
      <c r="AG641" s="1488"/>
      <c r="AH641" s="1488"/>
      <c r="AI641" s="1488"/>
      <c r="AJ641" s="1488"/>
      <c r="AK641" s="1488"/>
      <c r="AL641" s="1488"/>
      <c r="AM641" s="1488"/>
      <c r="AN641" s="1834"/>
      <c r="AO641" s="1498">
        <f>AO639+AO640</f>
        <v>90897429</v>
      </c>
      <c r="AP641" s="1499"/>
      <c r="AQ641" s="1499"/>
      <c r="AR641" s="1499"/>
      <c r="AS641" s="150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5" t="e">
        <f t="shared" si="2"/>
        <v>#VALUE!</v>
      </c>
      <c r="DY641" s="1395"/>
      <c r="DZ641" s="1395"/>
      <c r="EA641" s="1395"/>
      <c r="EB641" s="1395"/>
      <c r="EC641" s="1395" t="e">
        <f t="shared" si="3"/>
        <v>#VALUE!</v>
      </c>
      <c r="ED641" s="1395"/>
      <c r="EE641" s="1395"/>
      <c r="EF641" s="1395"/>
      <c r="EG641" s="1395"/>
      <c r="EH641" s="1395">
        <f t="shared" si="4"/>
        <v>1387.1666666666667</v>
      </c>
      <c r="EI641" s="1395"/>
      <c r="EJ641" s="1395"/>
      <c r="EK641" s="1395"/>
      <c r="EL641" s="1395"/>
      <c r="EM641" s="1395" t="e">
        <f t="shared" si="5"/>
        <v>#VALUE!</v>
      </c>
      <c r="EN641" s="1395"/>
      <c r="EO641" s="1395"/>
      <c r="EP641" s="1395"/>
      <c r="EQ641" s="1395"/>
      <c r="ER641" s="1395" t="e">
        <f t="shared" si="6"/>
        <v>#VALUE!</v>
      </c>
      <c r="ES641" s="1395"/>
      <c r="ET641" s="1395"/>
      <c r="EU641" s="1395"/>
      <c r="EV641" s="1395"/>
      <c r="EW641" s="1395" t="e">
        <f t="shared" si="7"/>
        <v>#VALUE!</v>
      </c>
      <c r="EX641" s="1395"/>
      <c r="EY641" s="1395"/>
      <c r="EZ641" s="1395"/>
      <c r="FA641" s="1395"/>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5" t="e">
        <f t="shared" si="2"/>
        <v>#VALUE!</v>
      </c>
      <c r="DY642" s="1395"/>
      <c r="DZ642" s="1395"/>
      <c r="EA642" s="1395"/>
      <c r="EB642" s="1395"/>
      <c r="EC642" s="1395" t="e">
        <f t="shared" si="3"/>
        <v>#VALUE!</v>
      </c>
      <c r="ED642" s="1395"/>
      <c r="EE642" s="1395"/>
      <c r="EF642" s="1395"/>
      <c r="EG642" s="1395"/>
      <c r="EH642" s="1395">
        <f t="shared" si="4"/>
        <v>496.33333333333331</v>
      </c>
      <c r="EI642" s="1395"/>
      <c r="EJ642" s="1395"/>
      <c r="EK642" s="1395"/>
      <c r="EL642" s="1395"/>
      <c r="EM642" s="1395" t="e">
        <f t="shared" si="5"/>
        <v>#VALUE!</v>
      </c>
      <c r="EN642" s="1395"/>
      <c r="EO642" s="1395"/>
      <c r="EP642" s="1395"/>
      <c r="EQ642" s="1395"/>
      <c r="ER642" s="1395" t="e">
        <f t="shared" si="6"/>
        <v>#VALUE!</v>
      </c>
      <c r="ES642" s="1395"/>
      <c r="ET642" s="1395"/>
      <c r="EU642" s="1395"/>
      <c r="EV642" s="1395"/>
      <c r="EW642" s="1395" t="e">
        <f t="shared" si="7"/>
        <v>#VALUE!</v>
      </c>
      <c r="EX642" s="1395"/>
      <c r="EY642" s="1395"/>
      <c r="EZ642" s="1395"/>
      <c r="FA642" s="1395"/>
    </row>
    <row r="643" spans="1:157" ht="13" customHeight="1">
      <c r="A643" s="55" t="s">
        <v>112</v>
      </c>
      <c r="B643" t="s">
        <v>463</v>
      </c>
      <c r="G643" s="1494" t="str">
        <f>C627</f>
        <v>Citibank, N.A.</v>
      </c>
      <c r="H643" s="1494"/>
      <c r="I643" s="1494"/>
      <c r="J643" s="1494"/>
      <c r="K643" s="1494"/>
      <c r="L643" s="1494"/>
      <c r="M643" s="1494"/>
      <c r="N643" s="1494"/>
      <c r="O643" s="1494"/>
      <c r="P643" s="1494"/>
      <c r="Q643" s="1494"/>
      <c r="R643" s="1494"/>
      <c r="S643" s="8"/>
      <c r="T643" s="55" t="s">
        <v>113</v>
      </c>
      <c r="U643" t="s">
        <v>463</v>
      </c>
      <c r="Z643" s="1494" t="str">
        <f>C628</f>
        <v>Vintage Housing Holdings, LLC</v>
      </c>
      <c r="AA643" s="1494"/>
      <c r="AB643" s="1494"/>
      <c r="AC643" s="1494"/>
      <c r="AD643" s="1494"/>
      <c r="AE643" s="1494"/>
      <c r="AF643" s="1494"/>
      <c r="AG643" s="1494"/>
      <c r="AH643" s="1494"/>
      <c r="AI643" s="1494"/>
      <c r="AJ643" s="1494"/>
      <c r="AK643" s="14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5" t="e">
        <f t="shared" si="2"/>
        <v>#VALUE!</v>
      </c>
      <c r="DY643" s="1395"/>
      <c r="DZ643" s="1395"/>
      <c r="EA643" s="1395"/>
      <c r="EB643" s="1395"/>
      <c r="EC643" s="1395" t="e">
        <f t="shared" si="3"/>
        <v>#VALUE!</v>
      </c>
      <c r="ED643" s="1395"/>
      <c r="EE643" s="1395"/>
      <c r="EF643" s="1395"/>
      <c r="EG643" s="1395"/>
      <c r="EH643" s="1395" t="e">
        <f t="shared" si="4"/>
        <v>#VALUE!</v>
      </c>
      <c r="EI643" s="1395"/>
      <c r="EJ643" s="1395"/>
      <c r="EK643" s="1395"/>
      <c r="EL643" s="1395"/>
      <c r="EM643" s="1395" t="e">
        <f t="shared" si="5"/>
        <v>#VALUE!</v>
      </c>
      <c r="EN643" s="1395"/>
      <c r="EO643" s="1395"/>
      <c r="EP643" s="1395"/>
      <c r="EQ643" s="1395"/>
      <c r="ER643" s="1395" t="e">
        <f t="shared" si="6"/>
        <v>#VALUE!</v>
      </c>
      <c r="ES643" s="1395"/>
      <c r="ET643" s="1395"/>
      <c r="EU643" s="1395"/>
      <c r="EV643" s="1395"/>
      <c r="EW643" s="1395" t="e">
        <f t="shared" si="7"/>
        <v>#VALUE!</v>
      </c>
      <c r="EX643" s="1395"/>
      <c r="EY643" s="1395"/>
      <c r="EZ643" s="1395"/>
      <c r="FA643" s="1395"/>
    </row>
    <row r="644" spans="1:157" ht="13" customHeight="1">
      <c r="A644" s="22"/>
      <c r="B644" t="s">
        <v>85</v>
      </c>
      <c r="G644" s="1487" t="s">
        <v>2709</v>
      </c>
      <c r="H644" s="1487"/>
      <c r="I644" s="1487"/>
      <c r="J644" s="1487"/>
      <c r="K644" s="1487"/>
      <c r="L644" s="1487"/>
      <c r="M644" s="1487"/>
      <c r="N644" s="1487"/>
      <c r="O644" s="1487"/>
      <c r="P644" s="1487"/>
      <c r="Q644" s="1487"/>
      <c r="R644" s="1487"/>
      <c r="S644" s="8"/>
      <c r="T644" s="22"/>
      <c r="U644" t="s">
        <v>85</v>
      </c>
      <c r="Z644" s="1487" t="s">
        <v>2615</v>
      </c>
      <c r="AA644" s="1487"/>
      <c r="AB644" s="1487"/>
      <c r="AC644" s="1487"/>
      <c r="AD644" s="1487"/>
      <c r="AE644" s="1487"/>
      <c r="AF644" s="1487"/>
      <c r="AG644" s="1487"/>
      <c r="AH644" s="1487"/>
      <c r="AI644" s="1487"/>
      <c r="AJ644" s="1487"/>
      <c r="AK644" s="1487"/>
      <c r="AV644" s="3"/>
      <c r="AW644" s="3"/>
      <c r="AX644" s="3"/>
      <c r="AY644" s="3"/>
      <c r="AZ644" s="3"/>
      <c r="BA644" s="3"/>
      <c r="BB644" s="3"/>
      <c r="BC644" s="3"/>
      <c r="BD644" s="3"/>
      <c r="BE644" s="3"/>
      <c r="BF644" s="3"/>
      <c r="BG644" s="3"/>
      <c r="BH644" s="3"/>
      <c r="BI644" s="3"/>
      <c r="BJ644" s="3"/>
      <c r="BK644" s="3"/>
      <c r="BL644" s="3"/>
      <c r="BM644" s="3"/>
      <c r="DX644" s="1395" t="e">
        <f t="shared" si="2"/>
        <v>#VALUE!</v>
      </c>
      <c r="DY644" s="1395"/>
      <c r="DZ644" s="1395"/>
      <c r="EA644" s="1395"/>
      <c r="EB644" s="1395"/>
      <c r="EC644" s="1395" t="e">
        <f t="shared" si="3"/>
        <v>#VALUE!</v>
      </c>
      <c r="ED644" s="1395"/>
      <c r="EE644" s="1395"/>
      <c r="EF644" s="1395"/>
      <c r="EG644" s="1395"/>
      <c r="EH644" s="1395" t="e">
        <f t="shared" si="4"/>
        <v>#VALUE!</v>
      </c>
      <c r="EI644" s="1395"/>
      <c r="EJ644" s="1395"/>
      <c r="EK644" s="1395"/>
      <c r="EL644" s="1395"/>
      <c r="EM644" s="1395" t="e">
        <f t="shared" si="5"/>
        <v>#VALUE!</v>
      </c>
      <c r="EN644" s="1395"/>
      <c r="EO644" s="1395"/>
      <c r="EP644" s="1395"/>
      <c r="EQ644" s="1395"/>
      <c r="ER644" s="1395" t="e">
        <f t="shared" si="6"/>
        <v>#VALUE!</v>
      </c>
      <c r="ES644" s="1395"/>
      <c r="ET644" s="1395"/>
      <c r="EU644" s="1395"/>
      <c r="EV644" s="1395"/>
      <c r="EW644" s="1395" t="e">
        <f t="shared" si="7"/>
        <v>#VALUE!</v>
      </c>
      <c r="EX644" s="1395"/>
      <c r="EY644" s="1395"/>
      <c r="EZ644" s="1395"/>
      <c r="FA644" s="1395"/>
    </row>
    <row r="645" spans="1:157" ht="13" customHeight="1">
      <c r="A645" s="22"/>
      <c r="B645" t="s">
        <v>580</v>
      </c>
      <c r="G645" s="1487" t="s">
        <v>2710</v>
      </c>
      <c r="H645" s="1487"/>
      <c r="I645" s="1487"/>
      <c r="J645" s="1487"/>
      <c r="K645" s="1487"/>
      <c r="L645" s="1487"/>
      <c r="M645" s="1487"/>
      <c r="N645" s="1487"/>
      <c r="O645" s="1487"/>
      <c r="P645" s="1487"/>
      <c r="Q645" s="1487"/>
      <c r="R645" s="1487"/>
      <c r="T645" s="22"/>
      <c r="U645" t="s">
        <v>580</v>
      </c>
      <c r="Z645" s="1455" t="s">
        <v>2653</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DX645" s="1395" t="e">
        <f t="shared" si="2"/>
        <v>#VALUE!</v>
      </c>
      <c r="DY645" s="1395"/>
      <c r="DZ645" s="1395"/>
      <c r="EA645" s="1395"/>
      <c r="EB645" s="1395"/>
      <c r="EC645" s="1395" t="e">
        <f t="shared" si="3"/>
        <v>#VALUE!</v>
      </c>
      <c r="ED645" s="1395"/>
      <c r="EE645" s="1395"/>
      <c r="EF645" s="1395"/>
      <c r="EG645" s="1395"/>
      <c r="EH645" s="1395" t="e">
        <f t="shared" si="4"/>
        <v>#VALUE!</v>
      </c>
      <c r="EI645" s="1395"/>
      <c r="EJ645" s="1395"/>
      <c r="EK645" s="1395"/>
      <c r="EL645" s="1395"/>
      <c r="EM645" s="1395" t="e">
        <f t="shared" si="5"/>
        <v>#VALUE!</v>
      </c>
      <c r="EN645" s="1395"/>
      <c r="EO645" s="1395"/>
      <c r="EP645" s="1395"/>
      <c r="EQ645" s="1395"/>
      <c r="ER645" s="1395" t="e">
        <f t="shared" si="6"/>
        <v>#VALUE!</v>
      </c>
      <c r="ES645" s="1395"/>
      <c r="ET645" s="1395"/>
      <c r="EU645" s="1395"/>
      <c r="EV645" s="1395"/>
      <c r="EW645" s="1395" t="e">
        <f t="shared" si="7"/>
        <v>#VALUE!</v>
      </c>
      <c r="EX645" s="1395"/>
      <c r="EY645" s="1395"/>
      <c r="EZ645" s="1395"/>
      <c r="FA645" s="1395"/>
    </row>
    <row r="646" spans="1:157" ht="13" customHeight="1">
      <c r="A646" s="22"/>
      <c r="B646" t="s">
        <v>17</v>
      </c>
      <c r="G646" s="1487" t="s">
        <v>2711</v>
      </c>
      <c r="H646" s="1487"/>
      <c r="I646" s="1487"/>
      <c r="J646" s="1487"/>
      <c r="K646" s="1487"/>
      <c r="L646" s="1487"/>
      <c r="M646" s="1487"/>
      <c r="N646" s="1487"/>
      <c r="O646" s="1487"/>
      <c r="P646" s="1487"/>
      <c r="Q646" s="1487"/>
      <c r="R646" s="1487"/>
      <c r="S646" s="8"/>
      <c r="T646" s="22"/>
      <c r="U646" t="s">
        <v>17</v>
      </c>
      <c r="Z646" s="1455" t="s">
        <v>2715</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DX646" s="1395" t="e">
        <f t="shared" si="2"/>
        <v>#VALUE!</v>
      </c>
      <c r="DY646" s="1395"/>
      <c r="DZ646" s="1395"/>
      <c r="EA646" s="1395"/>
      <c r="EB646" s="1395"/>
      <c r="EC646" s="1395" t="e">
        <f t="shared" si="3"/>
        <v>#VALUE!</v>
      </c>
      <c r="ED646" s="1395"/>
      <c r="EE646" s="1395"/>
      <c r="EF646" s="1395"/>
      <c r="EG646" s="1395"/>
      <c r="EH646" s="1395" t="e">
        <f t="shared" si="4"/>
        <v>#VALUE!</v>
      </c>
      <c r="EI646" s="1395"/>
      <c r="EJ646" s="1395"/>
      <c r="EK646" s="1395"/>
      <c r="EL646" s="1395"/>
      <c r="EM646" s="1395" t="e">
        <f t="shared" si="5"/>
        <v>#VALUE!</v>
      </c>
      <c r="EN646" s="1395"/>
      <c r="EO646" s="1395"/>
      <c r="EP646" s="1395"/>
      <c r="EQ646" s="1395"/>
      <c r="ER646" s="1395" t="e">
        <f t="shared" si="6"/>
        <v>#VALUE!</v>
      </c>
      <c r="ES646" s="1395"/>
      <c r="ET646" s="1395"/>
      <c r="EU646" s="1395"/>
      <c r="EV646" s="1395"/>
      <c r="EW646" s="1395" t="e">
        <f t="shared" si="7"/>
        <v>#VALUE!</v>
      </c>
      <c r="EX646" s="1395"/>
      <c r="EY646" s="1395"/>
      <c r="EZ646" s="1395"/>
      <c r="FA646" s="1395"/>
    </row>
    <row r="647" spans="1:157" ht="13" customHeight="1">
      <c r="A647" s="22"/>
      <c r="B647" t="s">
        <v>316</v>
      </c>
      <c r="G647" s="1522" t="s">
        <v>2712</v>
      </c>
      <c r="H647" s="1501"/>
      <c r="I647" s="1501"/>
      <c r="J647" s="1501"/>
      <c r="K647" s="1501"/>
      <c r="L647" s="1501"/>
      <c r="O647" s="33" t="s">
        <v>206</v>
      </c>
      <c r="P647" s="1486"/>
      <c r="Q647" s="1486"/>
      <c r="R647" s="1486"/>
      <c r="S647" s="10"/>
      <c r="T647" s="22"/>
      <c r="U647" t="s">
        <v>316</v>
      </c>
      <c r="Z647" s="1501" t="s">
        <v>2655</v>
      </c>
      <c r="AA647" s="1501"/>
      <c r="AB647" s="1501"/>
      <c r="AC647" s="1501"/>
      <c r="AD647" s="1501"/>
      <c r="AE647" s="1501"/>
      <c r="AH647" s="33" t="s">
        <v>206</v>
      </c>
      <c r="AI647" s="1486"/>
      <c r="AJ647" s="1486"/>
      <c r="AK647" s="1486"/>
      <c r="AZ647" s="34"/>
      <c r="BA647" s="34"/>
      <c r="BB647" s="34"/>
      <c r="BC647" s="34"/>
      <c r="BD647" s="34"/>
      <c r="BE647" s="34"/>
      <c r="BF647" s="34"/>
      <c r="BG647" s="34"/>
      <c r="BH647" s="34"/>
      <c r="BI647" s="34"/>
      <c r="BJ647" s="34"/>
      <c r="BK647" s="34"/>
      <c r="BL647" s="34"/>
      <c r="BM647" s="34"/>
      <c r="DX647" s="1395" t="e">
        <f t="shared" si="2"/>
        <v>#VALUE!</v>
      </c>
      <c r="DY647" s="1395"/>
      <c r="DZ647" s="1395"/>
      <c r="EA647" s="1395"/>
      <c r="EB647" s="1395"/>
      <c r="EC647" s="1395" t="e">
        <f t="shared" si="3"/>
        <v>#VALUE!</v>
      </c>
      <c r="ED647" s="1395"/>
      <c r="EE647" s="1395"/>
      <c r="EF647" s="1395"/>
      <c r="EG647" s="1395"/>
      <c r="EH647" s="1395" t="e">
        <f t="shared" si="4"/>
        <v>#VALUE!</v>
      </c>
      <c r="EI647" s="1395"/>
      <c r="EJ647" s="1395"/>
      <c r="EK647" s="1395"/>
      <c r="EL647" s="1395"/>
      <c r="EM647" s="1395" t="e">
        <f t="shared" si="5"/>
        <v>#VALUE!</v>
      </c>
      <c r="EN647" s="1395"/>
      <c r="EO647" s="1395"/>
      <c r="EP647" s="1395"/>
      <c r="EQ647" s="1395"/>
      <c r="ER647" s="1395" t="e">
        <f t="shared" si="6"/>
        <v>#VALUE!</v>
      </c>
      <c r="ES647" s="1395"/>
      <c r="ET647" s="1395"/>
      <c r="EU647" s="1395"/>
      <c r="EV647" s="1395"/>
      <c r="EW647" s="1395" t="e">
        <f t="shared" si="7"/>
        <v>#VALUE!</v>
      </c>
      <c r="EX647" s="1395"/>
      <c r="EY647" s="1395"/>
      <c r="EZ647" s="1395"/>
      <c r="FA647" s="1395"/>
    </row>
    <row r="648" spans="1:157" ht="13" customHeight="1">
      <c r="A648" s="22"/>
      <c r="B648" t="s">
        <v>18</v>
      </c>
      <c r="H648" s="1487" t="s">
        <v>2716</v>
      </c>
      <c r="I648" s="1487"/>
      <c r="J648" s="1487"/>
      <c r="K648" s="1487"/>
      <c r="L648" s="1487"/>
      <c r="M648" s="1487"/>
      <c r="N648" s="1487"/>
      <c r="O648" s="1487"/>
      <c r="P648" s="1487"/>
      <c r="Q648" s="1487"/>
      <c r="R648" s="1487"/>
      <c r="S648" s="8"/>
      <c r="T648" s="22"/>
      <c r="U648" t="s">
        <v>18</v>
      </c>
      <c r="AA648" s="1487" t="s">
        <v>2717</v>
      </c>
      <c r="AB648" s="1487"/>
      <c r="AC648" s="1487"/>
      <c r="AD648" s="1487"/>
      <c r="AE648" s="1487"/>
      <c r="AF648" s="1487"/>
      <c r="AG648" s="1487"/>
      <c r="AH648" s="1487"/>
      <c r="AI648" s="1487"/>
      <c r="AJ648" s="1487"/>
      <c r="AK648" s="1487"/>
      <c r="AZ648" s="34"/>
      <c r="BA648" s="34"/>
      <c r="BB648" s="34"/>
      <c r="BC648" s="34"/>
      <c r="BD648" s="34"/>
      <c r="BE648" s="34"/>
      <c r="BF648" s="34"/>
      <c r="BG648" s="34"/>
      <c r="BH648" s="34"/>
      <c r="BI648" s="34"/>
      <c r="BJ648" s="34"/>
      <c r="BK648" s="34"/>
      <c r="BL648" s="34"/>
      <c r="BM648" s="34"/>
      <c r="DX648" s="1395" t="e">
        <f t="shared" si="2"/>
        <v>#VALUE!</v>
      </c>
      <c r="DY648" s="1395"/>
      <c r="DZ648" s="1395"/>
      <c r="EA648" s="1395"/>
      <c r="EB648" s="1395"/>
      <c r="EC648" s="1395" t="e">
        <f t="shared" si="3"/>
        <v>#VALUE!</v>
      </c>
      <c r="ED648" s="1395"/>
      <c r="EE648" s="1395"/>
      <c r="EF648" s="1395"/>
      <c r="EG648" s="1395"/>
      <c r="EH648" s="1395" t="e">
        <f t="shared" si="4"/>
        <v>#VALUE!</v>
      </c>
      <c r="EI648" s="1395"/>
      <c r="EJ648" s="1395"/>
      <c r="EK648" s="1395"/>
      <c r="EL648" s="1395"/>
      <c r="EM648" s="1395" t="e">
        <f t="shared" si="5"/>
        <v>#VALUE!</v>
      </c>
      <c r="EN648" s="1395"/>
      <c r="EO648" s="1395"/>
      <c r="EP648" s="1395"/>
      <c r="EQ648" s="1395"/>
      <c r="ER648" s="1395" t="e">
        <f t="shared" si="6"/>
        <v>#VALUE!</v>
      </c>
      <c r="ES648" s="1395"/>
      <c r="ET648" s="1395"/>
      <c r="EU648" s="1395"/>
      <c r="EV648" s="1395"/>
      <c r="EW648" s="1395" t="e">
        <f t="shared" si="7"/>
        <v>#VALUE!</v>
      </c>
      <c r="EX648" s="1395"/>
      <c r="EY648" s="1395"/>
      <c r="EZ648" s="1395"/>
      <c r="FA648" s="1395"/>
    </row>
    <row r="649" spans="1:157" ht="13" customHeight="1">
      <c r="A649" s="22"/>
      <c r="B649" t="s">
        <v>20</v>
      </c>
      <c r="N649" s="1476" t="s">
        <v>545</v>
      </c>
      <c r="O649" s="1476"/>
      <c r="T649" s="22"/>
      <c r="U649" t="s">
        <v>20</v>
      </c>
      <c r="AG649" s="1476" t="s">
        <v>545</v>
      </c>
      <c r="AH649" s="1476"/>
      <c r="AZ649" s="34"/>
      <c r="BA649" s="34"/>
      <c r="BB649" s="34"/>
      <c r="BC649" s="34"/>
      <c r="BD649" s="34"/>
      <c r="BE649" s="34"/>
      <c r="BF649" s="34"/>
      <c r="BG649" s="34"/>
      <c r="BH649" s="34"/>
      <c r="BI649" s="34"/>
      <c r="BJ649" s="34"/>
      <c r="BK649" s="34"/>
      <c r="BL649" s="34"/>
      <c r="BM649" s="34"/>
      <c r="DX649" s="1395" t="e">
        <f t="shared" si="2"/>
        <v>#VALUE!</v>
      </c>
      <c r="DY649" s="1395"/>
      <c r="DZ649" s="1395"/>
      <c r="EA649" s="1395"/>
      <c r="EB649" s="1395"/>
      <c r="EC649" s="1395" t="e">
        <f t="shared" si="3"/>
        <v>#VALUE!</v>
      </c>
      <c r="ED649" s="1395"/>
      <c r="EE649" s="1395"/>
      <c r="EF649" s="1395"/>
      <c r="EG649" s="1395"/>
      <c r="EH649" s="1395" t="e">
        <f t="shared" si="4"/>
        <v>#VALUE!</v>
      </c>
      <c r="EI649" s="1395"/>
      <c r="EJ649" s="1395"/>
      <c r="EK649" s="1395"/>
      <c r="EL649" s="1395"/>
      <c r="EM649" s="1395" t="e">
        <f t="shared" si="5"/>
        <v>#VALUE!</v>
      </c>
      <c r="EN649" s="1395"/>
      <c r="EO649" s="1395"/>
      <c r="EP649" s="1395"/>
      <c r="EQ649" s="1395"/>
      <c r="ER649" s="1395" t="e">
        <f t="shared" si="6"/>
        <v>#VALUE!</v>
      </c>
      <c r="ES649" s="1395"/>
      <c r="ET649" s="1395"/>
      <c r="EU649" s="1395"/>
      <c r="EV649" s="1395"/>
      <c r="EW649" s="1395" t="e">
        <f t="shared" si="7"/>
        <v>#VALUE!</v>
      </c>
      <c r="EX649" s="1395"/>
      <c r="EY649" s="1395"/>
      <c r="EZ649" s="1395"/>
      <c r="FA649" s="1395"/>
    </row>
    <row r="650" spans="1:157" ht="13" customHeight="1">
      <c r="A650" s="22"/>
      <c r="T650" s="22"/>
      <c r="AZ650" s="34"/>
      <c r="BA650" s="34"/>
      <c r="BB650" s="34"/>
      <c r="BC650" s="34"/>
      <c r="BD650" s="34"/>
      <c r="BE650" s="34"/>
      <c r="BF650" s="34"/>
      <c r="BG650" s="34"/>
      <c r="BH650" s="34"/>
      <c r="BI650" s="34"/>
      <c r="BJ650" s="34"/>
      <c r="BK650" s="34"/>
      <c r="BL650" s="34"/>
      <c r="BM650" s="34"/>
      <c r="DX650" s="1395" t="e">
        <f t="shared" si="2"/>
        <v>#VALUE!</v>
      </c>
      <c r="DY650" s="1395"/>
      <c r="DZ650" s="1395"/>
      <c r="EA650" s="1395"/>
      <c r="EB650" s="1395"/>
      <c r="EC650" s="1395" t="e">
        <f t="shared" si="3"/>
        <v>#VALUE!</v>
      </c>
      <c r="ED650" s="1395"/>
      <c r="EE650" s="1395"/>
      <c r="EF650" s="1395"/>
      <c r="EG650" s="1395"/>
      <c r="EH650" s="1395" t="e">
        <f t="shared" si="4"/>
        <v>#VALUE!</v>
      </c>
      <c r="EI650" s="1395"/>
      <c r="EJ650" s="1395"/>
      <c r="EK650" s="1395"/>
      <c r="EL650" s="1395"/>
      <c r="EM650" s="1395" t="e">
        <f t="shared" si="5"/>
        <v>#VALUE!</v>
      </c>
      <c r="EN650" s="1395"/>
      <c r="EO650" s="1395"/>
      <c r="EP650" s="1395"/>
      <c r="EQ650" s="1395"/>
      <c r="ER650" s="1395" t="e">
        <f t="shared" si="6"/>
        <v>#VALUE!</v>
      </c>
      <c r="ES650" s="1395"/>
      <c r="ET650" s="1395"/>
      <c r="EU650" s="1395"/>
      <c r="EV650" s="1395"/>
      <c r="EW650" s="1395" t="e">
        <f t="shared" si="7"/>
        <v>#VALUE!</v>
      </c>
      <c r="EX650" s="1395"/>
      <c r="EY650" s="1395"/>
      <c r="EZ650" s="1395"/>
      <c r="FA650" s="1395"/>
    </row>
    <row r="651" spans="1:157" ht="13" customHeight="1">
      <c r="A651" s="55" t="s">
        <v>119</v>
      </c>
      <c r="B651" t="s">
        <v>463</v>
      </c>
      <c r="G651" s="1494" t="str">
        <f>C629</f>
        <v>Vintage Housing Development, Inc.</v>
      </c>
      <c r="H651" s="1494"/>
      <c r="I651" s="1494"/>
      <c r="J651" s="1494"/>
      <c r="K651" s="1494"/>
      <c r="L651" s="1494"/>
      <c r="M651" s="1494"/>
      <c r="N651" s="1494"/>
      <c r="O651" s="1494"/>
      <c r="P651" s="1494"/>
      <c r="Q651" s="1494"/>
      <c r="R651" s="1494"/>
      <c r="T651" s="55" t="s">
        <v>581</v>
      </c>
      <c r="U651" t="s">
        <v>463</v>
      </c>
      <c r="Z651" s="1494">
        <f>C630</f>
        <v>0</v>
      </c>
      <c r="AA651" s="1494"/>
      <c r="AB651" s="1494"/>
      <c r="AC651" s="1494"/>
      <c r="AD651" s="1494"/>
      <c r="AE651" s="1494"/>
      <c r="AF651" s="1494"/>
      <c r="AG651" s="1494"/>
      <c r="AH651" s="1494"/>
      <c r="AI651" s="1494"/>
      <c r="AJ651" s="1494"/>
      <c r="AK651" s="1494"/>
      <c r="AZ651" s="34"/>
      <c r="BA651" s="34"/>
      <c r="BB651" s="34"/>
      <c r="BC651" s="34"/>
      <c r="BD651" s="34"/>
      <c r="BE651" s="34"/>
      <c r="BF651" s="34"/>
      <c r="BG651" s="34"/>
      <c r="BH651" s="34"/>
      <c r="BI651" s="34"/>
      <c r="BJ651" s="34"/>
      <c r="BK651" s="34"/>
      <c r="BL651" s="34"/>
      <c r="BM651" s="34"/>
      <c r="DX651" s="1395" t="e">
        <f t="shared" si="2"/>
        <v>#VALUE!</v>
      </c>
      <c r="DY651" s="1395"/>
      <c r="DZ651" s="1395"/>
      <c r="EA651" s="1395"/>
      <c r="EB651" s="1395"/>
      <c r="EC651" s="1395" t="e">
        <f t="shared" si="3"/>
        <v>#VALUE!</v>
      </c>
      <c r="ED651" s="1395"/>
      <c r="EE651" s="1395"/>
      <c r="EF651" s="1395"/>
      <c r="EG651" s="1395"/>
      <c r="EH651" s="1395" t="e">
        <f t="shared" si="4"/>
        <v>#VALUE!</v>
      </c>
      <c r="EI651" s="1395"/>
      <c r="EJ651" s="1395"/>
      <c r="EK651" s="1395"/>
      <c r="EL651" s="1395"/>
      <c r="EM651" s="1395" t="e">
        <f t="shared" si="5"/>
        <v>#VALUE!</v>
      </c>
      <c r="EN651" s="1395"/>
      <c r="EO651" s="1395"/>
      <c r="EP651" s="1395"/>
      <c r="EQ651" s="1395"/>
      <c r="ER651" s="1395" t="e">
        <f t="shared" si="6"/>
        <v>#VALUE!</v>
      </c>
      <c r="ES651" s="1395"/>
      <c r="ET651" s="1395"/>
      <c r="EU651" s="1395"/>
      <c r="EV651" s="1395"/>
      <c r="EW651" s="1395" t="e">
        <f t="shared" si="7"/>
        <v>#VALUE!</v>
      </c>
      <c r="EX651" s="1395"/>
      <c r="EY651" s="1395"/>
      <c r="EZ651" s="1395"/>
      <c r="FA651" s="1395"/>
    </row>
    <row r="652" spans="1:157" ht="13" customHeight="1">
      <c r="A652" s="22"/>
      <c r="B652" t="s">
        <v>85</v>
      </c>
      <c r="G652" s="1487" t="s">
        <v>2615</v>
      </c>
      <c r="H652" s="1487"/>
      <c r="I652" s="1487"/>
      <c r="J652" s="1487"/>
      <c r="K652" s="1487"/>
      <c r="L652" s="1487"/>
      <c r="M652" s="1487"/>
      <c r="N652" s="1487"/>
      <c r="O652" s="1487"/>
      <c r="P652" s="1487"/>
      <c r="Q652" s="1487"/>
      <c r="R652" s="1487"/>
      <c r="T652" s="22"/>
      <c r="U652" t="s">
        <v>85</v>
      </c>
      <c r="Z652" s="1487"/>
      <c r="AA652" s="1487"/>
      <c r="AB652" s="1487"/>
      <c r="AC652" s="1487"/>
      <c r="AD652" s="1487"/>
      <c r="AE652" s="1487"/>
      <c r="AF652" s="1487"/>
      <c r="AG652" s="1487"/>
      <c r="AH652" s="1487"/>
      <c r="AI652" s="1487"/>
      <c r="AJ652" s="1487"/>
      <c r="AK652" s="1487"/>
      <c r="AZ652" s="34"/>
      <c r="BA652" s="34"/>
      <c r="BB652" s="34"/>
      <c r="BC652" s="34"/>
      <c r="BD652" s="34"/>
      <c r="BE652" s="34"/>
      <c r="BF652" s="34"/>
      <c r="BG652" s="34"/>
      <c r="BH652" s="34"/>
      <c r="BI652" s="34"/>
      <c r="BJ652" s="34"/>
      <c r="BK652" s="34"/>
      <c r="BL652" s="34"/>
      <c r="BM652" s="34"/>
      <c r="DX652" s="1395" t="e">
        <f t="shared" si="2"/>
        <v>#VALUE!</v>
      </c>
      <c r="DY652" s="1395"/>
      <c r="DZ652" s="1395"/>
      <c r="EA652" s="1395"/>
      <c r="EB652" s="1395"/>
      <c r="EC652" s="1395" t="e">
        <f t="shared" si="3"/>
        <v>#VALUE!</v>
      </c>
      <c r="ED652" s="1395"/>
      <c r="EE652" s="1395"/>
      <c r="EF652" s="1395"/>
      <c r="EG652" s="1395"/>
      <c r="EH652" s="1395" t="e">
        <f t="shared" si="4"/>
        <v>#VALUE!</v>
      </c>
      <c r="EI652" s="1395"/>
      <c r="EJ652" s="1395"/>
      <c r="EK652" s="1395"/>
      <c r="EL652" s="1395"/>
      <c r="EM652" s="1395" t="e">
        <f t="shared" si="5"/>
        <v>#VALUE!</v>
      </c>
      <c r="EN652" s="1395"/>
      <c r="EO652" s="1395"/>
      <c r="EP652" s="1395"/>
      <c r="EQ652" s="1395"/>
      <c r="ER652" s="1395" t="e">
        <f t="shared" si="6"/>
        <v>#VALUE!</v>
      </c>
      <c r="ES652" s="1395"/>
      <c r="ET652" s="1395"/>
      <c r="EU652" s="1395"/>
      <c r="EV652" s="1395"/>
      <c r="EW652" s="1395" t="e">
        <f t="shared" si="7"/>
        <v>#VALUE!</v>
      </c>
      <c r="EX652" s="1395"/>
      <c r="EY652" s="1395"/>
      <c r="EZ652" s="1395"/>
      <c r="FA652" s="1395"/>
    </row>
    <row r="653" spans="1:157" ht="13" customHeight="1">
      <c r="A653" s="22"/>
      <c r="B653" t="s">
        <v>580</v>
      </c>
      <c r="G653" s="1455" t="s">
        <v>2653</v>
      </c>
      <c r="H653" s="1455"/>
      <c r="I653" s="1455"/>
      <c r="J653" s="1455"/>
      <c r="K653" s="1455"/>
      <c r="L653" s="1455"/>
      <c r="M653" s="1455"/>
      <c r="N653" s="1455"/>
      <c r="O653" s="1455"/>
      <c r="P653" s="1455"/>
      <c r="Q653" s="1455"/>
      <c r="R653" s="1455"/>
      <c r="T653" s="22"/>
      <c r="U653" t="s">
        <v>580</v>
      </c>
      <c r="Z653" s="1455"/>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DX653" s="1395" t="e">
        <f t="shared" si="2"/>
        <v>#VALUE!</v>
      </c>
      <c r="DY653" s="1395"/>
      <c r="DZ653" s="1395"/>
      <c r="EA653" s="1395"/>
      <c r="EB653" s="1395"/>
      <c r="EC653" s="1395" t="e">
        <f t="shared" si="3"/>
        <v>#VALUE!</v>
      </c>
      <c r="ED653" s="1395"/>
      <c r="EE653" s="1395"/>
      <c r="EF653" s="1395"/>
      <c r="EG653" s="1395"/>
      <c r="EH653" s="1395" t="e">
        <f t="shared" si="4"/>
        <v>#VALUE!</v>
      </c>
      <c r="EI653" s="1395"/>
      <c r="EJ653" s="1395"/>
      <c r="EK653" s="1395"/>
      <c r="EL653" s="1395"/>
      <c r="EM653" s="1395" t="e">
        <f t="shared" si="5"/>
        <v>#VALUE!</v>
      </c>
      <c r="EN653" s="1395"/>
      <c r="EO653" s="1395"/>
      <c r="EP653" s="1395"/>
      <c r="EQ653" s="1395"/>
      <c r="ER653" s="1395" t="e">
        <f t="shared" si="6"/>
        <v>#VALUE!</v>
      </c>
      <c r="ES653" s="1395"/>
      <c r="ET653" s="1395"/>
      <c r="EU653" s="1395"/>
      <c r="EV653" s="1395"/>
      <c r="EW653" s="1395" t="e">
        <f t="shared" si="7"/>
        <v>#VALUE!</v>
      </c>
      <c r="EX653" s="1395"/>
      <c r="EY653" s="1395"/>
      <c r="EZ653" s="1395"/>
      <c r="FA653" s="1395"/>
    </row>
    <row r="654" spans="1:157" ht="13" customHeight="1">
      <c r="A654" s="22"/>
      <c r="B654" t="s">
        <v>17</v>
      </c>
      <c r="G654" s="1455" t="s">
        <v>2715</v>
      </c>
      <c r="H654" s="1455"/>
      <c r="I654" s="1455"/>
      <c r="J654" s="1455"/>
      <c r="K654" s="1455"/>
      <c r="L654" s="1455"/>
      <c r="M654" s="1455"/>
      <c r="N654" s="1455"/>
      <c r="O654" s="1455"/>
      <c r="P654" s="1455"/>
      <c r="Q654" s="1455"/>
      <c r="R654" s="1455"/>
      <c r="T654" s="22"/>
      <c r="U654" t="s">
        <v>17</v>
      </c>
      <c r="Z654" s="1455"/>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DX654" s="1395" t="e">
        <f t="shared" si="2"/>
        <v>#VALUE!</v>
      </c>
      <c r="DY654" s="1395"/>
      <c r="DZ654" s="1395"/>
      <c r="EA654" s="1395"/>
      <c r="EB654" s="1395"/>
      <c r="EC654" s="1395" t="e">
        <f t="shared" si="3"/>
        <v>#VALUE!</v>
      </c>
      <c r="ED654" s="1395"/>
      <c r="EE654" s="1395"/>
      <c r="EF654" s="1395"/>
      <c r="EG654" s="1395"/>
      <c r="EH654" s="1395" t="e">
        <f t="shared" si="4"/>
        <v>#VALUE!</v>
      </c>
      <c r="EI654" s="1395"/>
      <c r="EJ654" s="1395"/>
      <c r="EK654" s="1395"/>
      <c r="EL654" s="1395"/>
      <c r="EM654" s="1395" t="e">
        <f t="shared" si="5"/>
        <v>#VALUE!</v>
      </c>
      <c r="EN654" s="1395"/>
      <c r="EO654" s="1395"/>
      <c r="EP654" s="1395"/>
      <c r="EQ654" s="1395"/>
      <c r="ER654" s="1395" t="e">
        <f t="shared" si="6"/>
        <v>#VALUE!</v>
      </c>
      <c r="ES654" s="1395"/>
      <c r="ET654" s="1395"/>
      <c r="EU654" s="1395"/>
      <c r="EV654" s="1395"/>
      <c r="EW654" s="1395" t="e">
        <f t="shared" si="7"/>
        <v>#VALUE!</v>
      </c>
      <c r="EX654" s="1395"/>
      <c r="EY654" s="1395"/>
      <c r="EZ654" s="1395"/>
      <c r="FA654" s="1395"/>
    </row>
    <row r="655" spans="1:157" ht="13" customHeight="1">
      <c r="A655" s="22"/>
      <c r="B655" t="s">
        <v>316</v>
      </c>
      <c r="G655" s="1522" t="s">
        <v>2655</v>
      </c>
      <c r="H655" s="1501"/>
      <c r="I655" s="1501"/>
      <c r="J655" s="1501"/>
      <c r="K655" s="1501"/>
      <c r="L655" s="1501"/>
      <c r="O655" s="33" t="s">
        <v>206</v>
      </c>
      <c r="P655" s="1486"/>
      <c r="Q655" s="1486"/>
      <c r="R655" s="1486"/>
      <c r="T655" s="22"/>
      <c r="U655" t="s">
        <v>316</v>
      </c>
      <c r="Z655" s="1501"/>
      <c r="AA655" s="1501"/>
      <c r="AB655" s="1501"/>
      <c r="AC655" s="1501"/>
      <c r="AD655" s="1501"/>
      <c r="AE655" s="1501"/>
      <c r="AH655" s="33" t="s">
        <v>206</v>
      </c>
      <c r="AI655" s="1486"/>
      <c r="AJ655" s="1486"/>
      <c r="AK655" s="1486"/>
      <c r="AZ655" s="34"/>
      <c r="BA655" s="34"/>
      <c r="BB655" s="34"/>
      <c r="BC655" s="34"/>
      <c r="BD655" s="34"/>
      <c r="BE655" s="34"/>
      <c r="BF655" s="34"/>
      <c r="BG655" s="34"/>
      <c r="BH655" s="34"/>
      <c r="BI655" s="34"/>
      <c r="BJ655" s="34"/>
      <c r="BK655" s="34"/>
      <c r="BL655" s="34"/>
      <c r="BM655" s="34"/>
      <c r="DX655" s="1395" t="e">
        <f t="shared" si="2"/>
        <v>#VALUE!</v>
      </c>
      <c r="DY655" s="1395"/>
      <c r="DZ655" s="1395"/>
      <c r="EA655" s="1395"/>
      <c r="EB655" s="1395"/>
      <c r="EC655" s="1395" t="e">
        <f t="shared" si="3"/>
        <v>#VALUE!</v>
      </c>
      <c r="ED655" s="1395"/>
      <c r="EE655" s="1395"/>
      <c r="EF655" s="1395"/>
      <c r="EG655" s="1395"/>
      <c r="EH655" s="1395" t="e">
        <f t="shared" si="4"/>
        <v>#VALUE!</v>
      </c>
      <c r="EI655" s="1395"/>
      <c r="EJ655" s="1395"/>
      <c r="EK655" s="1395"/>
      <c r="EL655" s="1395"/>
      <c r="EM655" s="1395" t="e">
        <f t="shared" si="5"/>
        <v>#VALUE!</v>
      </c>
      <c r="EN655" s="1395"/>
      <c r="EO655" s="1395"/>
      <c r="EP655" s="1395"/>
      <c r="EQ655" s="1395"/>
      <c r="ER655" s="1395" t="e">
        <f t="shared" si="6"/>
        <v>#VALUE!</v>
      </c>
      <c r="ES655" s="1395"/>
      <c r="ET655" s="1395"/>
      <c r="EU655" s="1395"/>
      <c r="EV655" s="1395"/>
      <c r="EW655" s="1395" t="e">
        <f t="shared" si="7"/>
        <v>#VALUE!</v>
      </c>
      <c r="EX655" s="1395"/>
      <c r="EY655" s="1395"/>
      <c r="EZ655" s="1395"/>
      <c r="FA655" s="1395"/>
    </row>
    <row r="656" spans="1:157" ht="13" customHeight="1">
      <c r="A656" s="22"/>
      <c r="B656" t="s">
        <v>18</v>
      </c>
      <c r="H656" s="1487" t="s">
        <v>2320</v>
      </c>
      <c r="I656" s="1487"/>
      <c r="J656" s="1487"/>
      <c r="K656" s="1487"/>
      <c r="L656" s="1487"/>
      <c r="M656" s="1487"/>
      <c r="N656" s="1487"/>
      <c r="O656" s="1487"/>
      <c r="P656" s="1487"/>
      <c r="Q656" s="1487"/>
      <c r="R656" s="1487"/>
      <c r="T656" s="22"/>
      <c r="U656" t="s">
        <v>18</v>
      </c>
      <c r="AA656" s="1487"/>
      <c r="AB656" s="1487"/>
      <c r="AC656" s="1487"/>
      <c r="AD656" s="1487"/>
      <c r="AE656" s="1487"/>
      <c r="AF656" s="1487"/>
      <c r="AG656" s="1487"/>
      <c r="AH656" s="1487"/>
      <c r="AI656" s="1487"/>
      <c r="AJ656" s="1487"/>
      <c r="AK656" s="1487"/>
      <c r="AZ656" s="34"/>
      <c r="BA656" s="34"/>
      <c r="BB656" s="34"/>
      <c r="BC656" s="34"/>
      <c r="BD656" s="34"/>
      <c r="BE656" s="34"/>
      <c r="BF656" s="34"/>
      <c r="BG656" s="34"/>
      <c r="BH656" s="34"/>
      <c r="BI656" s="34"/>
      <c r="BJ656" s="34"/>
      <c r="BK656" s="34"/>
      <c r="BL656" s="34"/>
      <c r="BM656" s="34"/>
      <c r="DX656" s="1395" t="e">
        <f t="shared" si="2"/>
        <v>#VALUE!</v>
      </c>
      <c r="DY656" s="1395"/>
      <c r="DZ656" s="1395"/>
      <c r="EA656" s="1395"/>
      <c r="EB656" s="1395"/>
      <c r="EC656" s="1395" t="e">
        <f t="shared" si="3"/>
        <v>#VALUE!</v>
      </c>
      <c r="ED656" s="1395"/>
      <c r="EE656" s="1395"/>
      <c r="EF656" s="1395"/>
      <c r="EG656" s="1395"/>
      <c r="EH656" s="1395" t="e">
        <f t="shared" si="4"/>
        <v>#VALUE!</v>
      </c>
      <c r="EI656" s="1395"/>
      <c r="EJ656" s="1395"/>
      <c r="EK656" s="1395"/>
      <c r="EL656" s="1395"/>
      <c r="EM656" s="1395" t="e">
        <f t="shared" si="5"/>
        <v>#VALUE!</v>
      </c>
      <c r="EN656" s="1395"/>
      <c r="EO656" s="1395"/>
      <c r="EP656" s="1395"/>
      <c r="EQ656" s="1395"/>
      <c r="ER656" s="1395" t="e">
        <f t="shared" si="6"/>
        <v>#VALUE!</v>
      </c>
      <c r="ES656" s="1395"/>
      <c r="ET656" s="1395"/>
      <c r="EU656" s="1395"/>
      <c r="EV656" s="1395"/>
      <c r="EW656" s="1395" t="e">
        <f t="shared" si="7"/>
        <v>#VALUE!</v>
      </c>
      <c r="EX656" s="1395"/>
      <c r="EY656" s="1395"/>
      <c r="EZ656" s="1395"/>
      <c r="FA656" s="1395"/>
    </row>
    <row r="657" spans="1:157" ht="13" customHeight="1">
      <c r="A657" s="22"/>
      <c r="B657" t="s">
        <v>20</v>
      </c>
      <c r="N657" s="1476" t="s">
        <v>545</v>
      </c>
      <c r="O657" s="1476"/>
      <c r="T657" s="22"/>
      <c r="U657" t="s">
        <v>20</v>
      </c>
      <c r="AG657" s="1476" t="s">
        <v>669</v>
      </c>
      <c r="AH657" s="1476"/>
      <c r="AZ657" s="34"/>
      <c r="BA657" s="34"/>
      <c r="BB657" s="34"/>
      <c r="BC657" s="34"/>
      <c r="BD657" s="34"/>
      <c r="BE657" s="34"/>
      <c r="BF657" s="34"/>
      <c r="BG657" s="34"/>
      <c r="BH657" s="34"/>
      <c r="BI657" s="34"/>
      <c r="BJ657" s="34"/>
      <c r="BK657" s="34"/>
      <c r="BL657" s="34"/>
      <c r="BM657" s="34"/>
      <c r="DX657" s="1395" t="e">
        <f t="shared" si="2"/>
        <v>#VALUE!</v>
      </c>
      <c r="DY657" s="1395"/>
      <c r="DZ657" s="1395"/>
      <c r="EA657" s="1395"/>
      <c r="EB657" s="1395"/>
      <c r="EC657" s="1395" t="e">
        <f t="shared" si="3"/>
        <v>#VALUE!</v>
      </c>
      <c r="ED657" s="1395"/>
      <c r="EE657" s="1395"/>
      <c r="EF657" s="1395"/>
      <c r="EG657" s="1395"/>
      <c r="EH657" s="1395" t="e">
        <f t="shared" si="4"/>
        <v>#VALUE!</v>
      </c>
      <c r="EI657" s="1395"/>
      <c r="EJ657" s="1395"/>
      <c r="EK657" s="1395"/>
      <c r="EL657" s="1395"/>
      <c r="EM657" s="1395" t="e">
        <f t="shared" si="5"/>
        <v>#VALUE!</v>
      </c>
      <c r="EN657" s="1395"/>
      <c r="EO657" s="1395"/>
      <c r="EP657" s="1395"/>
      <c r="EQ657" s="1395"/>
      <c r="ER657" s="1395" t="e">
        <f t="shared" si="6"/>
        <v>#VALUE!</v>
      </c>
      <c r="ES657" s="1395"/>
      <c r="ET657" s="1395"/>
      <c r="EU657" s="1395"/>
      <c r="EV657" s="1395"/>
      <c r="EW657" s="1395" t="e">
        <f t="shared" si="7"/>
        <v>#VALUE!</v>
      </c>
      <c r="EX657" s="1395"/>
      <c r="EY657" s="1395"/>
      <c r="EZ657" s="1395"/>
      <c r="FA657" s="1395"/>
    </row>
    <row r="658" spans="1:157" ht="13" customHeight="1">
      <c r="A658" s="22"/>
      <c r="T658" s="22"/>
      <c r="AZ658" s="34"/>
      <c r="BA658" s="34"/>
      <c r="BB658" s="34"/>
      <c r="BC658" s="34"/>
      <c r="BD658" s="34"/>
      <c r="BE658" s="34"/>
      <c r="BF658" s="34"/>
      <c r="BG658" s="34"/>
      <c r="BH658" s="34"/>
      <c r="BI658" s="34"/>
      <c r="BJ658" s="34"/>
      <c r="BK658" s="34"/>
      <c r="BL658" s="34"/>
      <c r="BM658" s="34"/>
      <c r="DX658" s="1395" t="e">
        <f t="shared" si="2"/>
        <v>#VALUE!</v>
      </c>
      <c r="DY658" s="1395"/>
      <c r="DZ658" s="1395"/>
      <c r="EA658" s="1395"/>
      <c r="EB658" s="1395"/>
      <c r="EC658" s="1395" t="e">
        <f t="shared" si="3"/>
        <v>#VALUE!</v>
      </c>
      <c r="ED658" s="1395"/>
      <c r="EE658" s="1395"/>
      <c r="EF658" s="1395"/>
      <c r="EG658" s="1395"/>
      <c r="EH658" s="1395" t="e">
        <f t="shared" si="4"/>
        <v>#VALUE!</v>
      </c>
      <c r="EI658" s="1395"/>
      <c r="EJ658" s="1395"/>
      <c r="EK658" s="1395"/>
      <c r="EL658" s="1395"/>
      <c r="EM658" s="1395" t="e">
        <f t="shared" si="5"/>
        <v>#VALUE!</v>
      </c>
      <c r="EN658" s="1395"/>
      <c r="EO658" s="1395"/>
      <c r="EP658" s="1395"/>
      <c r="EQ658" s="1395"/>
      <c r="ER658" s="1395" t="e">
        <f t="shared" si="6"/>
        <v>#VALUE!</v>
      </c>
      <c r="ES658" s="1395"/>
      <c r="ET658" s="1395"/>
      <c r="EU658" s="1395"/>
      <c r="EV658" s="1395"/>
      <c r="EW658" s="1395" t="e">
        <f t="shared" si="7"/>
        <v>#VALUE!</v>
      </c>
      <c r="EX658" s="1395"/>
      <c r="EY658" s="1395"/>
      <c r="EZ658" s="1395"/>
      <c r="FA658" s="1395"/>
    </row>
    <row r="659" spans="1:157" ht="13" customHeight="1">
      <c r="A659" s="55" t="s">
        <v>763</v>
      </c>
      <c r="B659" t="s">
        <v>463</v>
      </c>
      <c r="G659" s="1494">
        <f>C631</f>
        <v>0</v>
      </c>
      <c r="H659" s="1494"/>
      <c r="I659" s="1494"/>
      <c r="J659" s="1494"/>
      <c r="K659" s="1494"/>
      <c r="L659" s="1494"/>
      <c r="M659" s="1494"/>
      <c r="N659" s="1494"/>
      <c r="O659" s="1494"/>
      <c r="P659" s="1494"/>
      <c r="Q659" s="1494"/>
      <c r="R659" s="1494"/>
      <c r="T659" s="55" t="s">
        <v>584</v>
      </c>
      <c r="U659" t="s">
        <v>463</v>
      </c>
      <c r="Z659" s="1494">
        <f>C632</f>
        <v>0</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DX659" s="1395" t="e">
        <f t="shared" si="2"/>
        <v>#VALUE!</v>
      </c>
      <c r="DY659" s="1395"/>
      <c r="DZ659" s="1395"/>
      <c r="EA659" s="1395"/>
      <c r="EB659" s="1395"/>
      <c r="EC659" s="1395" t="e">
        <f t="shared" si="3"/>
        <v>#VALUE!</v>
      </c>
      <c r="ED659" s="1395"/>
      <c r="EE659" s="1395"/>
      <c r="EF659" s="1395"/>
      <c r="EG659" s="1395"/>
      <c r="EH659" s="1395" t="e">
        <f t="shared" si="4"/>
        <v>#VALUE!</v>
      </c>
      <c r="EI659" s="1395"/>
      <c r="EJ659" s="1395"/>
      <c r="EK659" s="1395"/>
      <c r="EL659" s="1395"/>
      <c r="EM659" s="1395" t="e">
        <f t="shared" si="5"/>
        <v>#VALUE!</v>
      </c>
      <c r="EN659" s="1395"/>
      <c r="EO659" s="1395"/>
      <c r="EP659" s="1395"/>
      <c r="EQ659" s="1395"/>
      <c r="ER659" s="1395" t="e">
        <f t="shared" si="6"/>
        <v>#VALUE!</v>
      </c>
      <c r="ES659" s="1395"/>
      <c r="ET659" s="1395"/>
      <c r="EU659" s="1395"/>
      <c r="EV659" s="1395"/>
      <c r="EW659" s="1395" t="e">
        <f t="shared" si="7"/>
        <v>#VALUE!</v>
      </c>
      <c r="EX659" s="1395"/>
      <c r="EY659" s="1395"/>
      <c r="EZ659" s="1395"/>
      <c r="FA659" s="1395"/>
    </row>
    <row r="660" spans="1:157" ht="13" customHeight="1">
      <c r="A660" s="22"/>
      <c r="B660" t="s">
        <v>85</v>
      </c>
      <c r="G660" s="1487"/>
      <c r="H660" s="1487"/>
      <c r="I660" s="1487"/>
      <c r="J660" s="1487"/>
      <c r="K660" s="1487"/>
      <c r="L660" s="1487"/>
      <c r="M660" s="1487"/>
      <c r="N660" s="1487"/>
      <c r="O660" s="1487"/>
      <c r="P660" s="1487"/>
      <c r="Q660" s="1487"/>
      <c r="R660" s="1487"/>
      <c r="T660" s="22"/>
      <c r="U660" t="s">
        <v>85</v>
      </c>
      <c r="Z660" s="1487"/>
      <c r="AA660" s="1487"/>
      <c r="AB660" s="1487"/>
      <c r="AC660" s="1487"/>
      <c r="AD660" s="1487"/>
      <c r="AE660" s="1487"/>
      <c r="AF660" s="1487"/>
      <c r="AG660" s="1487"/>
      <c r="AH660" s="1487"/>
      <c r="AI660" s="1487"/>
      <c r="AJ660" s="1487"/>
      <c r="AK660" s="1487"/>
      <c r="AZ660" s="34"/>
      <c r="BA660" s="34"/>
      <c r="BB660" s="34"/>
      <c r="BC660" s="34"/>
      <c r="BD660" s="34"/>
      <c r="BE660" s="34"/>
      <c r="BF660" s="34"/>
      <c r="BG660" s="34"/>
      <c r="BH660" s="34"/>
      <c r="BI660" s="34"/>
      <c r="BJ660" s="34"/>
      <c r="BK660" s="34"/>
      <c r="BL660" s="34"/>
      <c r="BM660" s="34"/>
      <c r="DX660" s="1395" t="e">
        <f t="shared" si="2"/>
        <v>#VALUE!</v>
      </c>
      <c r="DY660" s="1395"/>
      <c r="DZ660" s="1395"/>
      <c r="EA660" s="1395"/>
      <c r="EB660" s="1395"/>
      <c r="EC660" s="1395" t="e">
        <f t="shared" si="3"/>
        <v>#VALUE!</v>
      </c>
      <c r="ED660" s="1395"/>
      <c r="EE660" s="1395"/>
      <c r="EF660" s="1395"/>
      <c r="EG660" s="1395"/>
      <c r="EH660" s="1395" t="e">
        <f t="shared" si="4"/>
        <v>#VALUE!</v>
      </c>
      <c r="EI660" s="1395"/>
      <c r="EJ660" s="1395"/>
      <c r="EK660" s="1395"/>
      <c r="EL660" s="1395"/>
      <c r="EM660" s="1395" t="e">
        <f t="shared" si="5"/>
        <v>#VALUE!</v>
      </c>
      <c r="EN660" s="1395"/>
      <c r="EO660" s="1395"/>
      <c r="EP660" s="1395"/>
      <c r="EQ660" s="1395"/>
      <c r="ER660" s="1395" t="e">
        <f t="shared" si="6"/>
        <v>#VALUE!</v>
      </c>
      <c r="ES660" s="1395"/>
      <c r="ET660" s="1395"/>
      <c r="EU660" s="1395"/>
      <c r="EV660" s="1395"/>
      <c r="EW660" s="1395" t="e">
        <f t="shared" si="7"/>
        <v>#VALUE!</v>
      </c>
      <c r="EX660" s="1395"/>
      <c r="EY660" s="1395"/>
      <c r="EZ660" s="1395"/>
      <c r="FA660" s="1395"/>
    </row>
    <row r="661" spans="1:157" ht="13" customHeight="1">
      <c r="A661" s="22"/>
      <c r="B661" t="s">
        <v>580</v>
      </c>
      <c r="G661" s="1487"/>
      <c r="H661" s="1487"/>
      <c r="I661" s="1487"/>
      <c r="J661" s="1487"/>
      <c r="K661" s="1487"/>
      <c r="L661" s="1487"/>
      <c r="M661" s="1487"/>
      <c r="N661" s="1487"/>
      <c r="O661" s="1487"/>
      <c r="P661" s="1487"/>
      <c r="Q661" s="1487"/>
      <c r="R661" s="1487"/>
      <c r="T661" s="22"/>
      <c r="U661" t="s">
        <v>580</v>
      </c>
      <c r="Z661" s="1455"/>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DX661" s="1395" t="e">
        <f t="shared" si="2"/>
        <v>#VALUE!</v>
      </c>
      <c r="DY661" s="1395"/>
      <c r="DZ661" s="1395"/>
      <c r="EA661" s="1395"/>
      <c r="EB661" s="1395"/>
      <c r="EC661" s="1395" t="e">
        <f t="shared" si="3"/>
        <v>#VALUE!</v>
      </c>
      <c r="ED661" s="1395"/>
      <c r="EE661" s="1395"/>
      <c r="EF661" s="1395"/>
      <c r="EG661" s="1395"/>
      <c r="EH661" s="1395" t="e">
        <f t="shared" si="4"/>
        <v>#VALUE!</v>
      </c>
      <c r="EI661" s="1395"/>
      <c r="EJ661" s="1395"/>
      <c r="EK661" s="1395"/>
      <c r="EL661" s="1395"/>
      <c r="EM661" s="1395" t="e">
        <f t="shared" si="5"/>
        <v>#VALUE!</v>
      </c>
      <c r="EN661" s="1395"/>
      <c r="EO661" s="1395"/>
      <c r="EP661" s="1395"/>
      <c r="EQ661" s="1395"/>
      <c r="ER661" s="1395" t="e">
        <f t="shared" si="6"/>
        <v>#VALUE!</v>
      </c>
      <c r="ES661" s="1395"/>
      <c r="ET661" s="1395"/>
      <c r="EU661" s="1395"/>
      <c r="EV661" s="1395"/>
      <c r="EW661" s="1395" t="e">
        <f t="shared" si="7"/>
        <v>#VALUE!</v>
      </c>
      <c r="EX661" s="1395"/>
      <c r="EY661" s="1395"/>
      <c r="EZ661" s="1395"/>
      <c r="FA661" s="1395"/>
    </row>
    <row r="662" spans="1:157" ht="13" customHeight="1">
      <c r="A662" s="22"/>
      <c r="B662" t="s">
        <v>17</v>
      </c>
      <c r="G662" s="1487"/>
      <c r="H662" s="1487"/>
      <c r="I662" s="1487"/>
      <c r="J662" s="1487"/>
      <c r="K662" s="1487"/>
      <c r="L662" s="1487"/>
      <c r="M662" s="1487"/>
      <c r="N662" s="1487"/>
      <c r="O662" s="1487"/>
      <c r="P662" s="1487"/>
      <c r="Q662" s="1487"/>
      <c r="R662" s="1487"/>
      <c r="T662" s="22"/>
      <c r="U662" t="s">
        <v>17</v>
      </c>
      <c r="Z662" s="1455"/>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5" t="e">
        <f t="shared" si="2"/>
        <v>#VALUE!</v>
      </c>
      <c r="DY662" s="1395"/>
      <c r="DZ662" s="1395"/>
      <c r="EA662" s="1395"/>
      <c r="EB662" s="1395"/>
      <c r="EC662" s="1395" t="e">
        <f t="shared" si="3"/>
        <v>#VALUE!</v>
      </c>
      <c r="ED662" s="1395"/>
      <c r="EE662" s="1395"/>
      <c r="EF662" s="1395"/>
      <c r="EG662" s="1395"/>
      <c r="EH662" s="1395" t="e">
        <f t="shared" si="4"/>
        <v>#VALUE!</v>
      </c>
      <c r="EI662" s="1395"/>
      <c r="EJ662" s="1395"/>
      <c r="EK662" s="1395"/>
      <c r="EL662" s="1395"/>
      <c r="EM662" s="1395" t="e">
        <f t="shared" si="5"/>
        <v>#VALUE!</v>
      </c>
      <c r="EN662" s="1395"/>
      <c r="EO662" s="1395"/>
      <c r="EP662" s="1395"/>
      <c r="EQ662" s="1395"/>
      <c r="ER662" s="1395" t="e">
        <f t="shared" si="6"/>
        <v>#VALUE!</v>
      </c>
      <c r="ES662" s="1395"/>
      <c r="ET662" s="1395"/>
      <c r="EU662" s="1395"/>
      <c r="EV662" s="1395"/>
      <c r="EW662" s="1395" t="e">
        <f t="shared" si="7"/>
        <v>#VALUE!</v>
      </c>
      <c r="EX662" s="1395"/>
      <c r="EY662" s="1395"/>
      <c r="EZ662" s="1395"/>
      <c r="FA662" s="1395"/>
    </row>
    <row r="663" spans="1:157" ht="13" customHeight="1">
      <c r="A663" s="22"/>
      <c r="B663" t="s">
        <v>316</v>
      </c>
      <c r="G663" s="1501"/>
      <c r="H663" s="1501"/>
      <c r="I663" s="1501"/>
      <c r="J663" s="1501"/>
      <c r="K663" s="1501"/>
      <c r="L663" s="1501"/>
      <c r="O663" s="33" t="s">
        <v>206</v>
      </c>
      <c r="P663" s="1486"/>
      <c r="Q663" s="1486"/>
      <c r="R663" s="1486"/>
      <c r="T663" s="22"/>
      <c r="U663" t="s">
        <v>316</v>
      </c>
      <c r="Z663" s="1501"/>
      <c r="AA663" s="1501"/>
      <c r="AB663" s="1501"/>
      <c r="AC663" s="1501"/>
      <c r="AD663" s="1501"/>
      <c r="AE663" s="1501"/>
      <c r="AH663" s="33" t="s">
        <v>206</v>
      </c>
      <c r="AI663" s="1486"/>
      <c r="AJ663" s="1486"/>
      <c r="AK663" s="14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5" t="e">
        <f t="shared" si="2"/>
        <v>#VALUE!</v>
      </c>
      <c r="DY663" s="1395"/>
      <c r="DZ663" s="1395"/>
      <c r="EA663" s="1395"/>
      <c r="EB663" s="1395"/>
      <c r="EC663" s="1395" t="e">
        <f t="shared" si="3"/>
        <v>#VALUE!</v>
      </c>
      <c r="ED663" s="1395"/>
      <c r="EE663" s="1395"/>
      <c r="EF663" s="1395"/>
      <c r="EG663" s="1395"/>
      <c r="EH663" s="1395" t="e">
        <f t="shared" si="4"/>
        <v>#VALUE!</v>
      </c>
      <c r="EI663" s="1395"/>
      <c r="EJ663" s="1395"/>
      <c r="EK663" s="1395"/>
      <c r="EL663" s="1395"/>
      <c r="EM663" s="1395" t="e">
        <f t="shared" si="5"/>
        <v>#VALUE!</v>
      </c>
      <c r="EN663" s="1395"/>
      <c r="EO663" s="1395"/>
      <c r="EP663" s="1395"/>
      <c r="EQ663" s="1395"/>
      <c r="ER663" s="1395" t="e">
        <f t="shared" si="6"/>
        <v>#VALUE!</v>
      </c>
      <c r="ES663" s="1395"/>
      <c r="ET663" s="1395"/>
      <c r="EU663" s="1395"/>
      <c r="EV663" s="1395"/>
      <c r="EW663" s="1395" t="e">
        <f t="shared" si="7"/>
        <v>#VALUE!</v>
      </c>
      <c r="EX663" s="1395"/>
      <c r="EY663" s="1395"/>
      <c r="EZ663" s="1395"/>
      <c r="FA663" s="1395"/>
    </row>
    <row r="664" spans="1:157" ht="13" customHeight="1">
      <c r="A664" s="22"/>
      <c r="B664" t="s">
        <v>18</v>
      </c>
      <c r="H664" s="1487"/>
      <c r="I664" s="1487"/>
      <c r="J664" s="1487"/>
      <c r="K664" s="1487"/>
      <c r="L664" s="1487"/>
      <c r="M664" s="1487"/>
      <c r="N664" s="1487"/>
      <c r="O664" s="1487"/>
      <c r="P664" s="1487"/>
      <c r="Q664" s="1487"/>
      <c r="R664" s="1487"/>
      <c r="T664" s="22"/>
      <c r="U664" t="s">
        <v>18</v>
      </c>
      <c r="AA664" s="1487"/>
      <c r="AB664" s="1487"/>
      <c r="AC664" s="1487"/>
      <c r="AD664" s="1487"/>
      <c r="AE664" s="1487"/>
      <c r="AF664" s="1487"/>
      <c r="AG664" s="1487"/>
      <c r="AH664" s="1487"/>
      <c r="AI664" s="1487"/>
      <c r="AJ664" s="1487"/>
      <c r="AK664" s="148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5" t="e">
        <f t="shared" si="2"/>
        <v>#VALUE!</v>
      </c>
      <c r="DY664" s="1395"/>
      <c r="DZ664" s="1395"/>
      <c r="EA664" s="1395"/>
      <c r="EB664" s="1395"/>
      <c r="EC664" s="1395" t="e">
        <f t="shared" si="3"/>
        <v>#VALUE!</v>
      </c>
      <c r="ED664" s="1395"/>
      <c r="EE664" s="1395"/>
      <c r="EF664" s="1395"/>
      <c r="EG664" s="1395"/>
      <c r="EH664" s="1395" t="e">
        <f t="shared" si="4"/>
        <v>#VALUE!</v>
      </c>
      <c r="EI664" s="1395"/>
      <c r="EJ664" s="1395"/>
      <c r="EK664" s="1395"/>
      <c r="EL664" s="1395"/>
      <c r="EM664" s="1395" t="e">
        <f t="shared" si="5"/>
        <v>#VALUE!</v>
      </c>
      <c r="EN664" s="1395"/>
      <c r="EO664" s="1395"/>
      <c r="EP664" s="1395"/>
      <c r="EQ664" s="1395"/>
      <c r="ER664" s="1395" t="e">
        <f t="shared" si="6"/>
        <v>#VALUE!</v>
      </c>
      <c r="ES664" s="1395"/>
      <c r="ET664" s="1395"/>
      <c r="EU664" s="1395"/>
      <c r="EV664" s="1395"/>
      <c r="EW664" s="1395" t="e">
        <f t="shared" si="7"/>
        <v>#VALUE!</v>
      </c>
      <c r="EX664" s="1395"/>
      <c r="EY664" s="1395"/>
      <c r="EZ664" s="1395"/>
      <c r="FA664" s="1395"/>
    </row>
    <row r="665" spans="1:157" ht="13" customHeight="1">
      <c r="A665" s="22"/>
      <c r="B665" t="s">
        <v>20</v>
      </c>
      <c r="N665" s="1476" t="s">
        <v>669</v>
      </c>
      <c r="O665" s="1476"/>
      <c r="T665" s="22"/>
      <c r="U665" t="s">
        <v>20</v>
      </c>
      <c r="AG665" s="1476" t="s">
        <v>669</v>
      </c>
      <c r="AH665" s="147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5" t="e">
        <f t="shared" si="2"/>
        <v>#VALUE!</v>
      </c>
      <c r="DY665" s="1395"/>
      <c r="DZ665" s="1395"/>
      <c r="EA665" s="1395"/>
      <c r="EB665" s="1395"/>
      <c r="EC665" s="1395" t="e">
        <f t="shared" si="3"/>
        <v>#VALUE!</v>
      </c>
      <c r="ED665" s="1395"/>
      <c r="EE665" s="1395"/>
      <c r="EF665" s="1395"/>
      <c r="EG665" s="1395"/>
      <c r="EH665" s="1395" t="e">
        <f t="shared" si="4"/>
        <v>#VALUE!</v>
      </c>
      <c r="EI665" s="1395"/>
      <c r="EJ665" s="1395"/>
      <c r="EK665" s="1395"/>
      <c r="EL665" s="1395"/>
      <c r="EM665" s="1395" t="e">
        <f t="shared" si="5"/>
        <v>#VALUE!</v>
      </c>
      <c r="EN665" s="1395"/>
      <c r="EO665" s="1395"/>
      <c r="EP665" s="1395"/>
      <c r="EQ665" s="1395"/>
      <c r="ER665" s="1395" t="e">
        <f t="shared" si="6"/>
        <v>#VALUE!</v>
      </c>
      <c r="ES665" s="1395"/>
      <c r="ET665" s="1395"/>
      <c r="EU665" s="1395"/>
      <c r="EV665" s="1395"/>
      <c r="EW665" s="1395" t="e">
        <f t="shared" si="7"/>
        <v>#VALUE!</v>
      </c>
      <c r="EX665" s="1395"/>
      <c r="EY665" s="1395"/>
      <c r="EZ665" s="1395"/>
      <c r="FA665" s="139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5" t="e">
        <f t="shared" si="2"/>
        <v>#VALUE!</v>
      </c>
      <c r="DY666" s="1395"/>
      <c r="DZ666" s="1395"/>
      <c r="EA666" s="1395"/>
      <c r="EB666" s="1395"/>
      <c r="EC666" s="1395" t="e">
        <f t="shared" si="3"/>
        <v>#VALUE!</v>
      </c>
      <c r="ED666" s="1395"/>
      <c r="EE666" s="1395"/>
      <c r="EF666" s="1395"/>
      <c r="EG666" s="1395"/>
      <c r="EH666" s="1395" t="e">
        <f t="shared" si="4"/>
        <v>#VALUE!</v>
      </c>
      <c r="EI666" s="1395"/>
      <c r="EJ666" s="1395"/>
      <c r="EK666" s="1395"/>
      <c r="EL666" s="1395"/>
      <c r="EM666" s="1395" t="e">
        <f t="shared" si="5"/>
        <v>#VALUE!</v>
      </c>
      <c r="EN666" s="1395"/>
      <c r="EO666" s="1395"/>
      <c r="EP666" s="1395"/>
      <c r="EQ666" s="1395"/>
      <c r="ER666" s="1395" t="e">
        <f t="shared" si="6"/>
        <v>#VALUE!</v>
      </c>
      <c r="ES666" s="1395"/>
      <c r="ET666" s="1395"/>
      <c r="EU666" s="1395"/>
      <c r="EV666" s="1395"/>
      <c r="EW666" s="1395" t="e">
        <f t="shared" si="7"/>
        <v>#VALUE!</v>
      </c>
      <c r="EX666" s="1395"/>
      <c r="EY666" s="1395"/>
      <c r="EZ666" s="1395"/>
      <c r="FA666" s="1395"/>
    </row>
    <row r="667" spans="1:157" ht="13" customHeight="1">
      <c r="A667" s="55" t="s">
        <v>455</v>
      </c>
      <c r="B667" t="s">
        <v>463</v>
      </c>
      <c r="G667" s="1494">
        <f>C633</f>
        <v>0</v>
      </c>
      <c r="H667" s="1494"/>
      <c r="I667" s="1494"/>
      <c r="J667" s="1494"/>
      <c r="K667" s="1494"/>
      <c r="L667" s="1494"/>
      <c r="M667" s="1494"/>
      <c r="N667" s="1494"/>
      <c r="O667" s="1494"/>
      <c r="P667" s="1494"/>
      <c r="Q667" s="1494"/>
      <c r="R667" s="1494"/>
      <c r="T667" s="55" t="s">
        <v>456</v>
      </c>
      <c r="U667" t="s">
        <v>463</v>
      </c>
      <c r="Z667" s="1494">
        <f>C634</f>
        <v>0</v>
      </c>
      <c r="AA667" s="1494"/>
      <c r="AB667" s="1494"/>
      <c r="AC667" s="1494"/>
      <c r="AD667" s="1494"/>
      <c r="AE667" s="1494"/>
      <c r="AF667" s="1494"/>
      <c r="AG667" s="1494"/>
      <c r="AH667" s="1494"/>
      <c r="AI667" s="1494"/>
      <c r="AJ667" s="1494"/>
      <c r="AK667" s="149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5" t="e">
        <f t="shared" si="2"/>
        <v>#VALUE!</v>
      </c>
      <c r="DY667" s="1395"/>
      <c r="DZ667" s="1395"/>
      <c r="EA667" s="1395"/>
      <c r="EB667" s="1395"/>
      <c r="EC667" s="1395" t="e">
        <f t="shared" si="3"/>
        <v>#VALUE!</v>
      </c>
      <c r="ED667" s="1395"/>
      <c r="EE667" s="1395"/>
      <c r="EF667" s="1395"/>
      <c r="EG667" s="1395"/>
      <c r="EH667" s="1395" t="e">
        <f t="shared" si="4"/>
        <v>#VALUE!</v>
      </c>
      <c r="EI667" s="1395"/>
      <c r="EJ667" s="1395"/>
      <c r="EK667" s="1395"/>
      <c r="EL667" s="1395"/>
      <c r="EM667" s="1395" t="e">
        <f t="shared" si="5"/>
        <v>#VALUE!</v>
      </c>
      <c r="EN667" s="1395"/>
      <c r="EO667" s="1395"/>
      <c r="EP667" s="1395"/>
      <c r="EQ667" s="1395"/>
      <c r="ER667" s="1395" t="e">
        <f t="shared" si="6"/>
        <v>#VALUE!</v>
      </c>
      <c r="ES667" s="1395"/>
      <c r="ET667" s="1395"/>
      <c r="EU667" s="1395"/>
      <c r="EV667" s="1395"/>
      <c r="EW667" s="1395" t="e">
        <f t="shared" si="7"/>
        <v>#VALUE!</v>
      </c>
      <c r="EX667" s="1395"/>
      <c r="EY667" s="1395"/>
      <c r="EZ667" s="1395"/>
      <c r="FA667" s="1395"/>
    </row>
    <row r="668" spans="1:157" ht="13" customHeight="1">
      <c r="A668" s="22"/>
      <c r="B668" t="s">
        <v>85</v>
      </c>
      <c r="G668" s="1487"/>
      <c r="H668" s="1487"/>
      <c r="I668" s="1487"/>
      <c r="J668" s="1487"/>
      <c r="K668" s="1487"/>
      <c r="L668" s="1487"/>
      <c r="M668" s="1487"/>
      <c r="N668" s="1487"/>
      <c r="O668" s="1487"/>
      <c r="P668" s="1487"/>
      <c r="Q668" s="1487"/>
      <c r="R668" s="1487"/>
      <c r="T668" s="22"/>
      <c r="U668" t="s">
        <v>85</v>
      </c>
      <c r="Z668" s="1487"/>
      <c r="AA668" s="1487"/>
      <c r="AB668" s="1487"/>
      <c r="AC668" s="1487"/>
      <c r="AD668" s="1487"/>
      <c r="AE668" s="1487"/>
      <c r="AF668" s="1487"/>
      <c r="AG668" s="1487"/>
      <c r="AH668" s="1487"/>
      <c r="AI668" s="1487"/>
      <c r="AJ668" s="1487"/>
      <c r="AK668" s="148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5" t="e">
        <f t="shared" si="2"/>
        <v>#VALUE!</v>
      </c>
      <c r="DY668" s="1395"/>
      <c r="DZ668" s="1395"/>
      <c r="EA668" s="1395"/>
      <c r="EB668" s="1395"/>
      <c r="EC668" s="1395" t="e">
        <f t="shared" si="3"/>
        <v>#VALUE!</v>
      </c>
      <c r="ED668" s="1395"/>
      <c r="EE668" s="1395"/>
      <c r="EF668" s="1395"/>
      <c r="EG668" s="1395"/>
      <c r="EH668" s="1395" t="e">
        <f t="shared" si="4"/>
        <v>#VALUE!</v>
      </c>
      <c r="EI668" s="1395"/>
      <c r="EJ668" s="1395"/>
      <c r="EK668" s="1395"/>
      <c r="EL668" s="1395"/>
      <c r="EM668" s="1395" t="e">
        <f t="shared" si="5"/>
        <v>#VALUE!</v>
      </c>
      <c r="EN668" s="1395"/>
      <c r="EO668" s="1395"/>
      <c r="EP668" s="1395"/>
      <c r="EQ668" s="1395"/>
      <c r="ER668" s="1395" t="e">
        <f t="shared" si="6"/>
        <v>#VALUE!</v>
      </c>
      <c r="ES668" s="1395"/>
      <c r="ET668" s="1395"/>
      <c r="EU668" s="1395"/>
      <c r="EV668" s="1395"/>
      <c r="EW668" s="1395" t="e">
        <f t="shared" si="7"/>
        <v>#VALUE!</v>
      </c>
      <c r="EX668" s="1395"/>
      <c r="EY668" s="1395"/>
      <c r="EZ668" s="1395"/>
      <c r="FA668" s="1395"/>
    </row>
    <row r="669" spans="1:157" ht="13" customHeight="1">
      <c r="A669" s="22"/>
      <c r="B669" t="s">
        <v>580</v>
      </c>
      <c r="G669" s="1487"/>
      <c r="H669" s="1487"/>
      <c r="I669" s="1487"/>
      <c r="J669" s="1487"/>
      <c r="K669" s="1487"/>
      <c r="L669" s="1487"/>
      <c r="M669" s="1487"/>
      <c r="N669" s="1487"/>
      <c r="O669" s="1487"/>
      <c r="P669" s="1487"/>
      <c r="Q669" s="1487"/>
      <c r="R669" s="1487"/>
      <c r="T669" s="22"/>
      <c r="U669" t="s">
        <v>580</v>
      </c>
      <c r="Z669" s="1455"/>
      <c r="AA669" s="1455"/>
      <c r="AB669" s="1455"/>
      <c r="AC669" s="1455"/>
      <c r="AD669" s="1455"/>
      <c r="AE669" s="1455"/>
      <c r="AF669" s="1455"/>
      <c r="AG669" s="1455"/>
      <c r="AH669" s="1455"/>
      <c r="AI669" s="1455"/>
      <c r="AJ669" s="1455"/>
      <c r="AK669" s="145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5" t="e">
        <f t="shared" si="2"/>
        <v>#VALUE!</v>
      </c>
      <c r="DY669" s="1395"/>
      <c r="DZ669" s="1395"/>
      <c r="EA669" s="1395"/>
      <c r="EB669" s="1395"/>
      <c r="EC669" s="1395" t="e">
        <f t="shared" si="3"/>
        <v>#VALUE!</v>
      </c>
      <c r="ED669" s="1395"/>
      <c r="EE669" s="1395"/>
      <c r="EF669" s="1395"/>
      <c r="EG669" s="1395"/>
      <c r="EH669" s="1395" t="e">
        <f t="shared" si="4"/>
        <v>#VALUE!</v>
      </c>
      <c r="EI669" s="1395"/>
      <c r="EJ669" s="1395"/>
      <c r="EK669" s="1395"/>
      <c r="EL669" s="1395"/>
      <c r="EM669" s="1395" t="e">
        <f t="shared" si="5"/>
        <v>#VALUE!</v>
      </c>
      <c r="EN669" s="1395"/>
      <c r="EO669" s="1395"/>
      <c r="EP669" s="1395"/>
      <c r="EQ669" s="1395"/>
      <c r="ER669" s="1395" t="e">
        <f t="shared" si="6"/>
        <v>#VALUE!</v>
      </c>
      <c r="ES669" s="1395"/>
      <c r="ET669" s="1395"/>
      <c r="EU669" s="1395"/>
      <c r="EV669" s="1395"/>
      <c r="EW669" s="1395" t="e">
        <f t="shared" si="7"/>
        <v>#VALUE!</v>
      </c>
      <c r="EX669" s="1395"/>
      <c r="EY669" s="1395"/>
      <c r="EZ669" s="1395"/>
      <c r="FA669" s="1395"/>
    </row>
    <row r="670" spans="1:157" ht="13" customHeight="1">
      <c r="A670" s="22"/>
      <c r="B670" t="s">
        <v>17</v>
      </c>
      <c r="G670" s="1487"/>
      <c r="H670" s="1487"/>
      <c r="I670" s="1487"/>
      <c r="J670" s="1487"/>
      <c r="K670" s="1487"/>
      <c r="L670" s="1487"/>
      <c r="M670" s="1487"/>
      <c r="N670" s="1487"/>
      <c r="O670" s="1487"/>
      <c r="P670" s="1487"/>
      <c r="Q670" s="1487"/>
      <c r="R670" s="1487"/>
      <c r="T670" s="22"/>
      <c r="U670" t="s">
        <v>17</v>
      </c>
      <c r="Z670" s="1455"/>
      <c r="AA670" s="1455"/>
      <c r="AB670" s="1455"/>
      <c r="AC670" s="1455"/>
      <c r="AD670" s="1455"/>
      <c r="AE670" s="1455"/>
      <c r="AF670" s="1455"/>
      <c r="AG670" s="1455"/>
      <c r="AH670" s="1455"/>
      <c r="AI670" s="1455"/>
      <c r="AJ670" s="1455"/>
      <c r="AK670" s="145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5">
        <f>SUMIF(DX635:EB669,"&gt;0")</f>
        <v>0</v>
      </c>
      <c r="DY670" s="1395"/>
      <c r="DZ670" s="1395"/>
      <c r="EA670" s="1395"/>
      <c r="EB670" s="1395"/>
      <c r="EC670" s="1395">
        <f>SUMIF(EC635:EG669,"&gt;0")</f>
        <v>1860.1969696969697</v>
      </c>
      <c r="ED670" s="1395"/>
      <c r="EE670" s="1395"/>
      <c r="EF670" s="1395"/>
      <c r="EG670" s="1395"/>
      <c r="EH670" s="1395">
        <f>SUMIF(EH635:EL669,"&gt;0")</f>
        <v>2199.2424242424245</v>
      </c>
      <c r="EI670" s="1395"/>
      <c r="EJ670" s="1395"/>
      <c r="EK670" s="1395"/>
      <c r="EL670" s="1395"/>
      <c r="EM670" s="1395">
        <f>SUMIF(EM635:EQ669,"&gt;0")</f>
        <v>0</v>
      </c>
      <c r="EN670" s="1395"/>
      <c r="EO670" s="1395"/>
      <c r="EP670" s="1395"/>
      <c r="EQ670" s="1395"/>
      <c r="ER670" s="1395">
        <f>SUMIF(ER635:EV669,"&gt;0")</f>
        <v>0</v>
      </c>
      <c r="ES670" s="1395"/>
      <c r="ET670" s="1395"/>
      <c r="EU670" s="1395"/>
      <c r="EV670" s="1395"/>
      <c r="EW670" s="1395">
        <f>SUMIF(EW635:FA669,"&gt;0")</f>
        <v>0</v>
      </c>
      <c r="EX670" s="1395"/>
      <c r="EY670" s="1395"/>
      <c r="EZ670" s="1395"/>
      <c r="FA670" s="1395"/>
    </row>
    <row r="671" spans="1:157" ht="13" customHeight="1">
      <c r="A671" s="22"/>
      <c r="B671" t="s">
        <v>316</v>
      </c>
      <c r="G671" s="1501"/>
      <c r="H671" s="1501"/>
      <c r="I671" s="1501"/>
      <c r="J671" s="1501"/>
      <c r="K671" s="1501"/>
      <c r="L671" s="1501"/>
      <c r="O671" s="33" t="s">
        <v>206</v>
      </c>
      <c r="P671" s="1486"/>
      <c r="Q671" s="1486"/>
      <c r="R671" s="1486"/>
      <c r="T671" s="22"/>
      <c r="U671" t="s">
        <v>316</v>
      </c>
      <c r="Z671" s="1501"/>
      <c r="AA671" s="1501"/>
      <c r="AB671" s="1501"/>
      <c r="AC671" s="1501"/>
      <c r="AD671" s="1501"/>
      <c r="AE671" s="1501"/>
      <c r="AH671" s="33" t="s">
        <v>206</v>
      </c>
      <c r="AI671" s="1486"/>
      <c r="AJ671" s="1486"/>
      <c r="AK671" s="148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87"/>
      <c r="I672" s="1487"/>
      <c r="J672" s="1487"/>
      <c r="K672" s="1487"/>
      <c r="L672" s="1487"/>
      <c r="M672" s="1487"/>
      <c r="N672" s="1487"/>
      <c r="O672" s="1487"/>
      <c r="P672" s="1487"/>
      <c r="Q672" s="1487"/>
      <c r="R672" s="1487"/>
      <c r="T672" s="22"/>
      <c r="U672" t="s">
        <v>18</v>
      </c>
      <c r="AA672" s="1487"/>
      <c r="AB672" s="1487"/>
      <c r="AC672" s="1487"/>
      <c r="AD672" s="1487"/>
      <c r="AE672" s="1487"/>
      <c r="AF672" s="1487"/>
      <c r="AG672" s="1487"/>
      <c r="AH672" s="1487"/>
      <c r="AI672" s="1487"/>
      <c r="AJ672" s="1487"/>
      <c r="AK672" s="148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76" t="s">
        <v>669</v>
      </c>
      <c r="O673" s="1476"/>
      <c r="T673" s="22"/>
      <c r="U673" t="s">
        <v>20</v>
      </c>
      <c r="AG673" s="1476" t="s">
        <v>669</v>
      </c>
      <c r="AH673" s="1476"/>
      <c r="AZ673" s="3"/>
    </row>
    <row r="674" spans="1:52" ht="13" customHeight="1">
      <c r="A674" s="22"/>
      <c r="T674" s="22"/>
      <c r="AZ674" s="3"/>
    </row>
    <row r="675" spans="1:52" ht="13" customHeight="1">
      <c r="A675" s="55" t="s">
        <v>461</v>
      </c>
      <c r="B675" t="s">
        <v>463</v>
      </c>
      <c r="G675" s="1494">
        <f>C635</f>
        <v>0</v>
      </c>
      <c r="H675" s="1494"/>
      <c r="I675" s="1494"/>
      <c r="J675" s="1494"/>
      <c r="K675" s="1494"/>
      <c r="L675" s="1494"/>
      <c r="M675" s="1494"/>
      <c r="N675" s="1494"/>
      <c r="O675" s="1494"/>
      <c r="P675" s="1494"/>
      <c r="Q675" s="1494"/>
      <c r="R675" s="1494"/>
      <c r="T675" s="55" t="s">
        <v>646</v>
      </c>
      <c r="U675" t="s">
        <v>463</v>
      </c>
      <c r="Z675" s="1494">
        <f>C636</f>
        <v>0</v>
      </c>
      <c r="AA675" s="1494"/>
      <c r="AB675" s="1494"/>
      <c r="AC675" s="1494"/>
      <c r="AD675" s="1494"/>
      <c r="AE675" s="1494"/>
      <c r="AF675" s="1494"/>
      <c r="AG675" s="1494"/>
      <c r="AH675" s="1494"/>
      <c r="AI675" s="1494"/>
      <c r="AJ675" s="1494"/>
      <c r="AK675" s="1494"/>
      <c r="AZ675" s="3"/>
    </row>
    <row r="676" spans="1:52" ht="13" customHeight="1">
      <c r="A676" s="22"/>
      <c r="B676" t="s">
        <v>85</v>
      </c>
      <c r="G676" s="1487"/>
      <c r="H676" s="1487"/>
      <c r="I676" s="1487"/>
      <c r="J676" s="1487"/>
      <c r="K676" s="1487"/>
      <c r="L676" s="1487"/>
      <c r="M676" s="1487"/>
      <c r="N676" s="1487"/>
      <c r="O676" s="1487"/>
      <c r="P676" s="1487"/>
      <c r="Q676" s="1487"/>
      <c r="R676" s="1487"/>
      <c r="T676" s="22"/>
      <c r="U676" t="s">
        <v>85</v>
      </c>
      <c r="Z676" s="1487"/>
      <c r="AA676" s="1487"/>
      <c r="AB676" s="1487"/>
      <c r="AC676" s="1487"/>
      <c r="AD676" s="1487"/>
      <c r="AE676" s="1487"/>
      <c r="AF676" s="1487"/>
      <c r="AG676" s="1487"/>
      <c r="AH676" s="1487"/>
      <c r="AI676" s="1487"/>
      <c r="AJ676" s="1487"/>
      <c r="AK676" s="1487"/>
      <c r="AZ676" s="3"/>
    </row>
    <row r="677" spans="1:52" ht="13" customHeight="1">
      <c r="A677" s="22"/>
      <c r="B677" t="s">
        <v>580</v>
      </c>
      <c r="G677" s="1487"/>
      <c r="H677" s="1487"/>
      <c r="I677" s="1487"/>
      <c r="J677" s="1487"/>
      <c r="K677" s="1487"/>
      <c r="L677" s="1487"/>
      <c r="M677" s="1487"/>
      <c r="N677" s="1487"/>
      <c r="O677" s="1487"/>
      <c r="P677" s="1487"/>
      <c r="Q677" s="1487"/>
      <c r="R677" s="1487"/>
      <c r="T677" s="22"/>
      <c r="U677" t="s">
        <v>580</v>
      </c>
      <c r="Z677" s="1455"/>
      <c r="AA677" s="1455"/>
      <c r="AB677" s="1455"/>
      <c r="AC677" s="1455"/>
      <c r="AD677" s="1455"/>
      <c r="AE677" s="1455"/>
      <c r="AF677" s="1455"/>
      <c r="AG677" s="1455"/>
      <c r="AH677" s="1455"/>
      <c r="AI677" s="1455"/>
      <c r="AJ677" s="1455"/>
      <c r="AK677" s="1455"/>
      <c r="AZ677" s="3"/>
    </row>
    <row r="678" spans="1:52" ht="13" customHeight="1">
      <c r="A678" s="22"/>
      <c r="B678" t="s">
        <v>17</v>
      </c>
      <c r="G678" s="1487"/>
      <c r="H678" s="1487"/>
      <c r="I678" s="1487"/>
      <c r="J678" s="1487"/>
      <c r="K678" s="1487"/>
      <c r="L678" s="1487"/>
      <c r="M678" s="1487"/>
      <c r="N678" s="1487"/>
      <c r="O678" s="1487"/>
      <c r="P678" s="1487"/>
      <c r="Q678" s="1487"/>
      <c r="R678" s="1487"/>
      <c r="T678" s="22"/>
      <c r="U678" t="s">
        <v>17</v>
      </c>
      <c r="Z678" s="1455"/>
      <c r="AA678" s="1455"/>
      <c r="AB678" s="1455"/>
      <c r="AC678" s="1455"/>
      <c r="AD678" s="1455"/>
      <c r="AE678" s="1455"/>
      <c r="AF678" s="1455"/>
      <c r="AG678" s="1455"/>
      <c r="AH678" s="1455"/>
      <c r="AI678" s="1455"/>
      <c r="AJ678" s="1455"/>
      <c r="AK678" s="1455"/>
      <c r="AZ678" s="3"/>
    </row>
    <row r="679" spans="1:52" ht="13" customHeight="1">
      <c r="A679" s="22"/>
      <c r="B679" t="s">
        <v>316</v>
      </c>
      <c r="G679" s="1501"/>
      <c r="H679" s="1501"/>
      <c r="I679" s="1501"/>
      <c r="J679" s="1501"/>
      <c r="K679" s="1501"/>
      <c r="L679" s="1501"/>
      <c r="O679" s="33" t="s">
        <v>206</v>
      </c>
      <c r="P679" s="1486"/>
      <c r="Q679" s="1486"/>
      <c r="R679" s="1486"/>
      <c r="T679" s="22"/>
      <c r="U679" t="s">
        <v>316</v>
      </c>
      <c r="Z679" s="1501"/>
      <c r="AA679" s="1501"/>
      <c r="AB679" s="1501"/>
      <c r="AC679" s="1501"/>
      <c r="AD679" s="1501"/>
      <c r="AE679" s="1501"/>
      <c r="AH679" s="33" t="s">
        <v>206</v>
      </c>
      <c r="AI679" s="1486"/>
      <c r="AJ679" s="1486"/>
      <c r="AK679" s="1486"/>
      <c r="AZ679" s="3"/>
    </row>
    <row r="680" spans="1:52" ht="13" customHeight="1">
      <c r="A680" s="22"/>
      <c r="B680" t="s">
        <v>18</v>
      </c>
      <c r="H680" s="1487"/>
      <c r="I680" s="1487"/>
      <c r="J680" s="1487"/>
      <c r="K680" s="1487"/>
      <c r="L680" s="1487"/>
      <c r="M680" s="1487"/>
      <c r="N680" s="1487"/>
      <c r="O680" s="1487"/>
      <c r="P680" s="1487"/>
      <c r="Q680" s="1487"/>
      <c r="R680" s="1487"/>
      <c r="T680" s="22"/>
      <c r="U680" t="s">
        <v>18</v>
      </c>
      <c r="AA680" s="1487"/>
      <c r="AB680" s="1487"/>
      <c r="AC680" s="1487"/>
      <c r="AD680" s="1487"/>
      <c r="AE680" s="1487"/>
      <c r="AF680" s="1487"/>
      <c r="AG680" s="1487"/>
      <c r="AH680" s="1487"/>
      <c r="AI680" s="1487"/>
      <c r="AJ680" s="1487"/>
      <c r="AK680" s="1487"/>
      <c r="AZ680" s="3"/>
    </row>
    <row r="681" spans="1:52" ht="13" customHeight="1">
      <c r="A681" s="22"/>
      <c r="B681" t="s">
        <v>20</v>
      </c>
      <c r="N681" s="1476" t="s">
        <v>669</v>
      </c>
      <c r="O681" s="1476"/>
      <c r="T681" s="22"/>
      <c r="U681" t="s">
        <v>20</v>
      </c>
      <c r="AG681" s="1476" t="s">
        <v>669</v>
      </c>
      <c r="AH681" s="1476"/>
      <c r="AZ681" s="3"/>
    </row>
    <row r="682" spans="1:52" ht="13" customHeight="1">
      <c r="A682" s="22"/>
      <c r="T682" s="22"/>
      <c r="AZ682" s="3"/>
    </row>
    <row r="683" spans="1:52" ht="13" customHeight="1">
      <c r="A683" s="55" t="s">
        <v>362</v>
      </c>
      <c r="B683" t="s">
        <v>463</v>
      </c>
      <c r="G683" s="1494">
        <f>C637</f>
        <v>0</v>
      </c>
      <c r="H683" s="1494"/>
      <c r="I683" s="1494"/>
      <c r="J683" s="1494"/>
      <c r="K683" s="1494"/>
      <c r="L683" s="1494"/>
      <c r="M683" s="1494"/>
      <c r="N683" s="1494"/>
      <c r="O683" s="1494"/>
      <c r="P683" s="1494"/>
      <c r="Q683" s="1494"/>
      <c r="R683" s="1494"/>
      <c r="T683" s="55" t="s">
        <v>363</v>
      </c>
      <c r="U683" t="s">
        <v>463</v>
      </c>
      <c r="Z683" s="1494">
        <f>C638</f>
        <v>0</v>
      </c>
      <c r="AA683" s="1494"/>
      <c r="AB683" s="1494"/>
      <c r="AC683" s="1494"/>
      <c r="AD683" s="1494"/>
      <c r="AE683" s="1494"/>
      <c r="AF683" s="1494"/>
      <c r="AG683" s="1494"/>
      <c r="AH683" s="1494"/>
      <c r="AI683" s="1494"/>
      <c r="AJ683" s="1494"/>
      <c r="AK683" s="1494"/>
      <c r="AZ683" s="3"/>
    </row>
    <row r="684" spans="1:52" ht="13" customHeight="1">
      <c r="B684" t="s">
        <v>85</v>
      </c>
      <c r="G684" s="1487"/>
      <c r="H684" s="1487"/>
      <c r="I684" s="1487"/>
      <c r="J684" s="1487"/>
      <c r="K684" s="1487"/>
      <c r="L684" s="1487"/>
      <c r="M684" s="1487"/>
      <c r="N684" s="1487"/>
      <c r="O684" s="1487"/>
      <c r="P684" s="1487"/>
      <c r="Q684" s="1487"/>
      <c r="R684" s="1487"/>
      <c r="T684" s="22"/>
      <c r="U684" t="s">
        <v>85</v>
      </c>
      <c r="Z684" s="1487"/>
      <c r="AA684" s="1487"/>
      <c r="AB684" s="1487"/>
      <c r="AC684" s="1487"/>
      <c r="AD684" s="1487"/>
      <c r="AE684" s="1487"/>
      <c r="AF684" s="1487"/>
      <c r="AG684" s="1487"/>
      <c r="AH684" s="1487"/>
      <c r="AI684" s="1487"/>
      <c r="AJ684" s="1487"/>
      <c r="AK684" s="1487"/>
      <c r="AZ684" s="3"/>
    </row>
    <row r="685" spans="1:52" ht="13" customHeight="1">
      <c r="B685" t="s">
        <v>580</v>
      </c>
      <c r="G685" s="1487"/>
      <c r="H685" s="1487"/>
      <c r="I685" s="1487"/>
      <c r="J685" s="1487"/>
      <c r="K685" s="1487"/>
      <c r="L685" s="1487"/>
      <c r="M685" s="1487"/>
      <c r="N685" s="1487"/>
      <c r="O685" s="1487"/>
      <c r="P685" s="1487"/>
      <c r="Q685" s="1487"/>
      <c r="R685" s="1487"/>
      <c r="U685" t="s">
        <v>580</v>
      </c>
      <c r="Z685" s="1455"/>
      <c r="AA685" s="1455"/>
      <c r="AB685" s="1455"/>
      <c r="AC685" s="1455"/>
      <c r="AD685" s="1455"/>
      <c r="AE685" s="1455"/>
      <c r="AF685" s="1455"/>
      <c r="AG685" s="1455"/>
      <c r="AH685" s="1455"/>
      <c r="AI685" s="1455"/>
      <c r="AJ685" s="1455"/>
      <c r="AK685" s="1455"/>
      <c r="AZ685" s="3"/>
    </row>
    <row r="686" spans="1:52" ht="13" customHeight="1">
      <c r="B686" t="s">
        <v>17</v>
      </c>
      <c r="G686" s="1487"/>
      <c r="H686" s="1487"/>
      <c r="I686" s="1487"/>
      <c r="J686" s="1487"/>
      <c r="K686" s="1487"/>
      <c r="L686" s="1487"/>
      <c r="M686" s="1487"/>
      <c r="N686" s="1487"/>
      <c r="O686" s="1487"/>
      <c r="P686" s="1487"/>
      <c r="Q686" s="1487"/>
      <c r="R686" s="1487"/>
      <c r="U686" t="s">
        <v>17</v>
      </c>
      <c r="Z686" s="1455"/>
      <c r="AA686" s="1455"/>
      <c r="AB686" s="1455"/>
      <c r="AC686" s="1455"/>
      <c r="AD686" s="1455"/>
      <c r="AE686" s="1455"/>
      <c r="AF686" s="1455"/>
      <c r="AG686" s="1455"/>
      <c r="AH686" s="1455"/>
      <c r="AI686" s="1455"/>
      <c r="AJ686" s="1455"/>
      <c r="AK686" s="1455"/>
      <c r="AZ686" s="3"/>
    </row>
    <row r="687" spans="1:52" ht="13" customHeight="1">
      <c r="B687" t="s">
        <v>316</v>
      </c>
      <c r="G687" s="1501"/>
      <c r="H687" s="1501"/>
      <c r="I687" s="1501"/>
      <c r="J687" s="1501"/>
      <c r="K687" s="1501"/>
      <c r="L687" s="1501"/>
      <c r="O687" s="33" t="s">
        <v>206</v>
      </c>
      <c r="P687" s="1486"/>
      <c r="Q687" s="1486"/>
      <c r="R687" s="1486"/>
      <c r="U687" t="s">
        <v>316</v>
      </c>
      <c r="Z687" s="1501"/>
      <c r="AA687" s="1501"/>
      <c r="AB687" s="1501"/>
      <c r="AC687" s="1501"/>
      <c r="AD687" s="1501"/>
      <c r="AE687" s="1501"/>
      <c r="AH687" s="33" t="s">
        <v>206</v>
      </c>
      <c r="AI687" s="1486"/>
      <c r="AJ687" s="1486"/>
      <c r="AK687" s="1486"/>
      <c r="AZ687" s="3"/>
    </row>
    <row r="688" spans="1:52" ht="13" customHeight="1">
      <c r="B688" t="s">
        <v>18</v>
      </c>
      <c r="H688" s="1487"/>
      <c r="I688" s="1487"/>
      <c r="J688" s="1487"/>
      <c r="K688" s="1487"/>
      <c r="L688" s="1487"/>
      <c r="M688" s="1487"/>
      <c r="N688" s="1487"/>
      <c r="O688" s="1487"/>
      <c r="P688" s="1487"/>
      <c r="Q688" s="1487"/>
      <c r="R688" s="1487"/>
      <c r="U688" t="s">
        <v>18</v>
      </c>
      <c r="AA688" s="1487"/>
      <c r="AB688" s="1487"/>
      <c r="AC688" s="1487"/>
      <c r="AD688" s="1487"/>
      <c r="AE688" s="1487"/>
      <c r="AF688" s="1487"/>
      <c r="AG688" s="1487"/>
      <c r="AH688" s="1487"/>
      <c r="AI688" s="1487"/>
      <c r="AJ688" s="1487"/>
      <c r="AK688" s="1487"/>
      <c r="AZ688" s="3"/>
    </row>
    <row r="689" spans="1:67" ht="13" customHeight="1">
      <c r="B689" t="s">
        <v>20</v>
      </c>
      <c r="N689" s="1476" t="s">
        <v>669</v>
      </c>
      <c r="O689" s="1476"/>
      <c r="U689" t="s">
        <v>20</v>
      </c>
      <c r="AG689" s="1476" t="s">
        <v>669</v>
      </c>
      <c r="AH689" s="1476"/>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76" t="s">
        <v>545</v>
      </c>
      <c r="AF693" s="1476"/>
      <c r="AZ693" s="3"/>
    </row>
    <row r="694" spans="1:67" ht="13" customHeight="1">
      <c r="B694" s="135"/>
      <c r="C694" s="135"/>
      <c r="D694" s="136" t="s">
        <v>438</v>
      </c>
      <c r="E694" s="135"/>
      <c r="F694" s="135"/>
      <c r="G694" s="135"/>
      <c r="H694" s="135"/>
      <c r="AE694" s="1476" t="s">
        <v>669</v>
      </c>
      <c r="AF694" s="1476"/>
      <c r="AZ694" s="3"/>
    </row>
    <row r="695" spans="1:67" ht="13" customHeight="1">
      <c r="B695" s="135"/>
      <c r="C695" s="135"/>
      <c r="D695" s="136" t="s">
        <v>920</v>
      </c>
      <c r="E695" s="135"/>
      <c r="F695" s="135"/>
      <c r="G695" s="135"/>
      <c r="H695" s="135"/>
      <c r="AE695" s="1577">
        <v>45909</v>
      </c>
      <c r="AF695" s="1577"/>
      <c r="AG695" s="1577"/>
      <c r="AH695" s="1577"/>
      <c r="AI695" s="1577"/>
    </row>
    <row r="696" spans="1:67" ht="13" customHeight="1">
      <c r="B696" s="135"/>
      <c r="C696" s="135"/>
      <c r="D696" s="317" t="s">
        <v>983</v>
      </c>
      <c r="E696" s="135"/>
      <c r="F696" s="135"/>
      <c r="G696" s="135"/>
      <c r="H696" s="135"/>
      <c r="AE696" s="1666">
        <v>45980</v>
      </c>
      <c r="AF696" s="1666"/>
      <c r="AG696" s="1666"/>
      <c r="AH696" s="1666"/>
      <c r="AI696" s="1666"/>
    </row>
    <row r="697" spans="1:67" ht="13" customHeight="1">
      <c r="B697" s="135"/>
      <c r="C697" s="135"/>
    </row>
    <row r="698" spans="1:67" ht="13" customHeight="1">
      <c r="B698" s="135"/>
      <c r="C698" s="135"/>
      <c r="D698" s="136" t="s">
        <v>816</v>
      </c>
      <c r="E698" s="135"/>
      <c r="F698" s="135"/>
      <c r="G698" s="135"/>
      <c r="H698" s="135"/>
      <c r="AE698" s="1577">
        <v>46082</v>
      </c>
      <c r="AF698" s="1577"/>
      <c r="AG698" s="1577"/>
      <c r="AH698" s="1577"/>
      <c r="AI698" s="1577"/>
    </row>
    <row r="699" spans="1:67" ht="13" customHeight="1">
      <c r="B699" s="135"/>
      <c r="C699" s="135"/>
      <c r="D699" s="136" t="s">
        <v>436</v>
      </c>
      <c r="E699" s="135"/>
      <c r="F699" s="135"/>
      <c r="G699" s="135"/>
      <c r="H699" s="135"/>
      <c r="AE699" s="1693">
        <v>0.27829999999999999</v>
      </c>
      <c r="AF699" s="1693"/>
      <c r="AG699" s="1693"/>
      <c r="AH699" s="1693"/>
      <c r="AI699" s="1693"/>
    </row>
    <row r="700" spans="1:67" ht="13" customHeight="1">
      <c r="B700" s="135"/>
      <c r="C700" s="135"/>
      <c r="D700" s="136" t="s">
        <v>437</v>
      </c>
      <c r="E700" s="135"/>
      <c r="F700" s="135"/>
      <c r="G700" s="135"/>
      <c r="H700" s="135"/>
      <c r="W700" s="1494" t="str">
        <f>H335</f>
        <v>California Municipal Finance Authority</v>
      </c>
      <c r="X700" s="1494"/>
      <c r="Y700" s="1494"/>
      <c r="Z700" s="1494"/>
      <c r="AA700" s="1494"/>
      <c r="AB700" s="1494"/>
      <c r="AC700" s="1494"/>
      <c r="AD700" s="1494"/>
      <c r="AE700" s="1494"/>
      <c r="AF700" s="1494"/>
      <c r="AG700" s="1494"/>
      <c r="AH700" s="1494"/>
      <c r="AI700" s="1494"/>
      <c r="AJ700" s="1494"/>
      <c r="AK700" s="149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76" t="s">
        <v>669</v>
      </c>
      <c r="AF702" s="1476"/>
      <c r="AZ702" s="4" t="s">
        <v>324</v>
      </c>
    </row>
    <row r="703" spans="1:67" ht="13" customHeight="1">
      <c r="B703" s="135"/>
      <c r="C703" s="135"/>
      <c r="D703" s="136" t="s">
        <v>442</v>
      </c>
      <c r="E703" s="135"/>
      <c r="F703" s="135"/>
      <c r="G703" s="135"/>
      <c r="H703" s="135"/>
      <c r="W703" s="1487"/>
      <c r="X703" s="1487"/>
      <c r="Y703" s="1487"/>
      <c r="Z703" s="1487"/>
      <c r="AA703" s="1487"/>
      <c r="AB703" s="1487"/>
      <c r="AC703" s="1487"/>
      <c r="AD703" s="1487"/>
      <c r="AE703" s="1487"/>
      <c r="AF703" s="1487"/>
      <c r="AG703" s="1487"/>
      <c r="AH703" s="1487"/>
      <c r="AI703" s="1487"/>
      <c r="AJ703" s="1487"/>
      <c r="AK703" s="1487"/>
      <c r="AZ703" s="4" t="s">
        <v>325</v>
      </c>
    </row>
    <row r="704" spans="1:67" ht="13" customHeight="1">
      <c r="B704" s="135"/>
      <c r="C704" s="135"/>
      <c r="D704" s="136" t="s">
        <v>87</v>
      </c>
      <c r="E704" s="135"/>
      <c r="F704" s="135"/>
      <c r="G704" s="135"/>
      <c r="H704" s="135"/>
      <c r="J704" s="1487"/>
      <c r="K704" s="1487"/>
      <c r="L704" s="1487"/>
      <c r="M704" s="1487"/>
      <c r="N704" s="1487"/>
      <c r="O704" s="1487"/>
      <c r="P704" s="1487"/>
      <c r="Q704" s="1487"/>
      <c r="R704" s="1487"/>
      <c r="S704" s="1487"/>
      <c r="T704" s="1487"/>
      <c r="U704" s="1487"/>
      <c r="V704" s="1487"/>
      <c r="W704" s="1487"/>
      <c r="X704" s="1487"/>
      <c r="AZ704" s="4" t="s">
        <v>163</v>
      </c>
      <c r="BB704" s="34"/>
      <c r="BC704" s="34"/>
      <c r="BD704" s="34"/>
      <c r="BE704" s="3"/>
      <c r="BF704" s="3"/>
      <c r="BJ704" s="3"/>
      <c r="BK704" s="3"/>
      <c r="BL704" s="3"/>
      <c r="BM704" s="3"/>
      <c r="BN704" s="34"/>
      <c r="BO704" s="34"/>
    </row>
    <row r="705" spans="1:185" ht="13" customHeight="1">
      <c r="B705" s="135"/>
      <c r="C705" s="135"/>
      <c r="D705" s="136" t="s">
        <v>88</v>
      </c>
      <c r="J705" s="1501"/>
      <c r="K705" s="1501"/>
      <c r="L705" s="1501"/>
      <c r="M705" s="1501"/>
      <c r="N705" s="1501"/>
      <c r="O705" s="1501"/>
      <c r="P705" s="4" t="s">
        <v>206</v>
      </c>
      <c r="Q705" s="4"/>
      <c r="R705" s="1486"/>
      <c r="S705" s="1486"/>
      <c r="T705" s="148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87" t="s">
        <v>307</v>
      </c>
      <c r="X706" s="1487"/>
      <c r="Y706" s="1487"/>
      <c r="Z706" s="1487"/>
      <c r="AA706" s="1487"/>
      <c r="AB706" s="1487"/>
      <c r="AC706" s="1487"/>
      <c r="AD706" s="1487"/>
      <c r="AE706" s="1487"/>
      <c r="AF706" s="1487"/>
      <c r="AG706" s="1487"/>
      <c r="AH706" s="1487"/>
      <c r="AI706" s="1487"/>
      <c r="AJ706" s="1487"/>
      <c r="AK706" s="148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87" t="s">
        <v>334</v>
      </c>
      <c r="F707" s="1487"/>
      <c r="G707" s="1487"/>
      <c r="H707" s="1487"/>
      <c r="I707" s="1487"/>
      <c r="J707" s="1487"/>
      <c r="K707" s="1487"/>
      <c r="L707" s="1487"/>
      <c r="M707" s="1487"/>
      <c r="N707" s="1487"/>
      <c r="O707" s="1487"/>
      <c r="P707" s="1487"/>
      <c r="Q707" s="1487"/>
      <c r="R707" s="1487"/>
      <c r="S707" s="1487"/>
      <c r="T707" s="1487"/>
      <c r="U707" s="1487"/>
      <c r="V707" s="1487"/>
      <c r="W707" s="1487"/>
      <c r="X707" s="1487"/>
      <c r="Y707" s="1487"/>
      <c r="Z707" s="1487"/>
      <c r="AA707" s="1487"/>
      <c r="AB707" s="1487"/>
      <c r="AC707" s="1487"/>
      <c r="AD707" s="1487"/>
      <c r="AE707" s="1487"/>
      <c r="AF707" s="1487"/>
      <c r="AG707" s="1487"/>
      <c r="AH707" s="1487"/>
      <c r="AI707" s="1487"/>
      <c r="AJ707" s="1487"/>
      <c r="AK707" s="148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08" t="s">
        <v>389</v>
      </c>
      <c r="C714" s="1600"/>
      <c r="D714" s="1600"/>
      <c r="E714" s="1600"/>
      <c r="F714" s="1601"/>
      <c r="G714" s="1608" t="s">
        <v>285</v>
      </c>
      <c r="H714" s="1600"/>
      <c r="I714" s="1600"/>
      <c r="J714" s="1601"/>
      <c r="K714" s="1609" t="s">
        <v>1679</v>
      </c>
      <c r="L714" s="1610"/>
      <c r="M714" s="1610"/>
      <c r="N714" s="1611"/>
      <c r="O714" s="1608" t="s">
        <v>447</v>
      </c>
      <c r="P714" s="1600"/>
      <c r="Q714" s="1600"/>
      <c r="R714" s="1600"/>
      <c r="S714" s="1601"/>
      <c r="T714" s="1599" t="s">
        <v>1949</v>
      </c>
      <c r="U714" s="1600"/>
      <c r="V714" s="1600"/>
      <c r="W714" s="1601"/>
      <c r="X714" s="1599" t="s">
        <v>1951</v>
      </c>
      <c r="Y714" s="1600"/>
      <c r="Z714" s="1600"/>
      <c r="AA714" s="1600"/>
      <c r="AB714" s="1601"/>
      <c r="AC714" s="1599" t="s">
        <v>1950</v>
      </c>
      <c r="AD714" s="1600"/>
      <c r="AE714" s="1600"/>
      <c r="AF714" s="1600"/>
      <c r="AG714" s="1601"/>
      <c r="AH714" s="1599" t="s">
        <v>1952</v>
      </c>
      <c r="AI714" s="1600"/>
      <c r="AJ714" s="1601"/>
      <c r="AK714" s="1599" t="s">
        <v>1979</v>
      </c>
      <c r="AL714" s="1600"/>
      <c r="AM714" s="1600"/>
      <c r="AN714" s="1600"/>
      <c r="AO714" s="16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602"/>
      <c r="C715" s="1603"/>
      <c r="D715" s="1603"/>
      <c r="E715" s="1603"/>
      <c r="F715" s="1604"/>
      <c r="G715" s="1602"/>
      <c r="H715" s="1603"/>
      <c r="I715" s="1603"/>
      <c r="J715" s="1604"/>
      <c r="K715" s="1612"/>
      <c r="L715" s="1613"/>
      <c r="M715" s="1613"/>
      <c r="N715" s="1614"/>
      <c r="O715" s="1602"/>
      <c r="P715" s="1603"/>
      <c r="Q715" s="1603"/>
      <c r="R715" s="1603"/>
      <c r="S715" s="1604"/>
      <c r="T715" s="1602"/>
      <c r="U715" s="1603"/>
      <c r="V715" s="1603"/>
      <c r="W715" s="1604"/>
      <c r="X715" s="1602"/>
      <c r="Y715" s="1603"/>
      <c r="Z715" s="1603"/>
      <c r="AA715" s="1603"/>
      <c r="AB715" s="1604"/>
      <c r="AC715" s="1602"/>
      <c r="AD715" s="1603"/>
      <c r="AE715" s="1603"/>
      <c r="AF715" s="1603"/>
      <c r="AG715" s="1604"/>
      <c r="AH715" s="1602"/>
      <c r="AI715" s="1603"/>
      <c r="AJ715" s="1604"/>
      <c r="AK715" s="1602"/>
      <c r="AL715" s="1603"/>
      <c r="AM715" s="1603"/>
      <c r="AN715" s="1603"/>
      <c r="AO715" s="16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602"/>
      <c r="C716" s="1603"/>
      <c r="D716" s="1603"/>
      <c r="E716" s="1603"/>
      <c r="F716" s="1604"/>
      <c r="G716" s="1602"/>
      <c r="H716" s="1603"/>
      <c r="I716" s="1603"/>
      <c r="J716" s="1604"/>
      <c r="K716" s="1612"/>
      <c r="L716" s="1613"/>
      <c r="M716" s="1613"/>
      <c r="N716" s="1614"/>
      <c r="O716" s="1602"/>
      <c r="P716" s="1603"/>
      <c r="Q716" s="1603"/>
      <c r="R716" s="1603"/>
      <c r="S716" s="1604"/>
      <c r="T716" s="1602"/>
      <c r="U716" s="1603"/>
      <c r="V716" s="1603"/>
      <c r="W716" s="1604"/>
      <c r="X716" s="1602"/>
      <c r="Y716" s="1603"/>
      <c r="Z716" s="1603"/>
      <c r="AA716" s="1603"/>
      <c r="AB716" s="1604"/>
      <c r="AC716" s="1602"/>
      <c r="AD716" s="1603"/>
      <c r="AE716" s="1603"/>
      <c r="AF716" s="1603"/>
      <c r="AG716" s="1604"/>
      <c r="AH716" s="1602"/>
      <c r="AI716" s="1603"/>
      <c r="AJ716" s="1604"/>
      <c r="AK716" s="1602"/>
      <c r="AL716" s="1603"/>
      <c r="AM716" s="1603"/>
      <c r="AN716" s="1603"/>
      <c r="AO716" s="16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605"/>
      <c r="C717" s="1606"/>
      <c r="D717" s="1606"/>
      <c r="E717" s="1606"/>
      <c r="F717" s="1607"/>
      <c r="G717" s="1605"/>
      <c r="H717" s="1606"/>
      <c r="I717" s="1606"/>
      <c r="J717" s="1607"/>
      <c r="K717" s="1612"/>
      <c r="L717" s="1613"/>
      <c r="M717" s="1613"/>
      <c r="N717" s="1614"/>
      <c r="O717" s="1605"/>
      <c r="P717" s="1606"/>
      <c r="Q717" s="1606"/>
      <c r="R717" s="1606"/>
      <c r="S717" s="1607"/>
      <c r="T717" s="1605"/>
      <c r="U717" s="1606"/>
      <c r="V717" s="1606"/>
      <c r="W717" s="1607"/>
      <c r="X717" s="1605"/>
      <c r="Y717" s="1606"/>
      <c r="Z717" s="1606"/>
      <c r="AA717" s="1606"/>
      <c r="AB717" s="1607"/>
      <c r="AC717" s="1605"/>
      <c r="AD717" s="1606"/>
      <c r="AE717" s="1606"/>
      <c r="AF717" s="1606"/>
      <c r="AG717" s="1607"/>
      <c r="AH717" s="1605"/>
      <c r="AI717" s="1606"/>
      <c r="AJ717" s="1607"/>
      <c r="AK717" s="1605"/>
      <c r="AL717" s="1606"/>
      <c r="AM717" s="1606"/>
      <c r="AN717" s="1606"/>
      <c r="AO717" s="16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45"/>
      <c r="CJ717" s="1347"/>
      <c r="CK717" s="121" t="s">
        <v>475</v>
      </c>
      <c r="CL717" s="122"/>
      <c r="CM717" s="1345"/>
      <c r="CN717" s="1347"/>
      <c r="CO717" s="3"/>
      <c r="CP717" s="1740" t="s">
        <v>633</v>
      </c>
      <c r="CQ717" s="1741"/>
      <c r="CR717" s="1741"/>
      <c r="CS717" s="1741"/>
      <c r="CT717" s="1742"/>
      <c r="CU717" s="1502" t="s">
        <v>325</v>
      </c>
      <c r="CV717" s="1502"/>
      <c r="CW717" s="1502"/>
      <c r="CX717" s="1502"/>
      <c r="CY717" s="1502"/>
      <c r="CZ717" s="1502" t="s">
        <v>163</v>
      </c>
      <c r="DA717" s="1502"/>
      <c r="DB717" s="1502"/>
      <c r="DC717" s="1502"/>
      <c r="DD717" s="1502"/>
      <c r="DE717" s="1502" t="s">
        <v>164</v>
      </c>
      <c r="DF717" s="1502"/>
      <c r="DG717" s="1502"/>
      <c r="DH717" s="1502"/>
      <c r="DI717" s="1502"/>
      <c r="DJ717" s="1502" t="s">
        <v>460</v>
      </c>
      <c r="DK717" s="1502"/>
      <c r="DL717" s="1502"/>
      <c r="DM717" s="1502"/>
      <c r="DN717" s="1502"/>
      <c r="DO717" s="1502" t="s">
        <v>30</v>
      </c>
      <c r="DP717" s="1502"/>
      <c r="DQ717" s="1502"/>
      <c r="DR717" s="1502"/>
      <c r="DS717" s="1502"/>
      <c r="DT717" s="89"/>
      <c r="DU717" s="1502" t="s">
        <v>633</v>
      </c>
      <c r="DV717" s="1502"/>
      <c r="DW717" s="1502"/>
      <c r="DX717" s="1502"/>
      <c r="DY717" s="1502"/>
      <c r="DZ717" s="1502" t="s">
        <v>325</v>
      </c>
      <c r="EA717" s="1502"/>
      <c r="EB717" s="1502"/>
      <c r="EC717" s="1502"/>
      <c r="ED717" s="1502"/>
      <c r="EE717" s="1502" t="s">
        <v>163</v>
      </c>
      <c r="EF717" s="1502"/>
      <c r="EG717" s="1502"/>
      <c r="EH717" s="1502"/>
      <c r="EI717" s="1502"/>
      <c r="EJ717" s="1502" t="s">
        <v>164</v>
      </c>
      <c r="EK717" s="1502"/>
      <c r="EL717" s="1502"/>
      <c r="EM717" s="1502"/>
      <c r="EN717" s="1502"/>
      <c r="EO717" s="1502" t="s">
        <v>460</v>
      </c>
      <c r="EP717" s="1502"/>
      <c r="EQ717" s="1502"/>
      <c r="ER717" s="1502"/>
      <c r="ES717" s="1502"/>
      <c r="ET717" s="1502" t="s">
        <v>30</v>
      </c>
      <c r="EU717" s="1502"/>
      <c r="EV717" s="1502"/>
      <c r="EW717" s="1502"/>
      <c r="EX717" s="1502"/>
      <c r="EY717" s="4"/>
      <c r="EZ717" s="1502" t="s">
        <v>633</v>
      </c>
      <c r="FA717" s="1502"/>
      <c r="FB717" s="1502"/>
      <c r="FC717" s="1502"/>
      <c r="FD717" s="1502"/>
      <c r="FE717" s="1502" t="s">
        <v>325</v>
      </c>
      <c r="FF717" s="1502"/>
      <c r="FG717" s="1502"/>
      <c r="FH717" s="1502"/>
      <c r="FI717" s="1502"/>
      <c r="FJ717" s="1502" t="s">
        <v>163</v>
      </c>
      <c r="FK717" s="1502"/>
      <c r="FL717" s="1502"/>
      <c r="FM717" s="1502"/>
      <c r="FN717" s="1502"/>
      <c r="FO717" s="1502" t="s">
        <v>164</v>
      </c>
      <c r="FP717" s="1502"/>
      <c r="FQ717" s="1502"/>
      <c r="FR717" s="1502"/>
      <c r="FS717" s="1502"/>
      <c r="FT717" s="1502" t="s">
        <v>460</v>
      </c>
      <c r="FU717" s="1502"/>
      <c r="FV717" s="1502"/>
      <c r="FW717" s="1502"/>
      <c r="FX717" s="1502"/>
      <c r="FY717" s="1502" t="s">
        <v>30</v>
      </c>
      <c r="FZ717" s="1502"/>
      <c r="GA717" s="1502"/>
      <c r="GB717" s="1502"/>
      <c r="GC717" s="1502"/>
    </row>
    <row r="718" spans="1:185" ht="13" customHeight="1">
      <c r="A718" s="4"/>
      <c r="B718" s="1390" t="s">
        <v>325</v>
      </c>
      <c r="C718" s="1391"/>
      <c r="D718" s="1391"/>
      <c r="E718" s="1391"/>
      <c r="F718" s="1392"/>
      <c r="G718" s="1427">
        <v>13</v>
      </c>
      <c r="H718" s="1428"/>
      <c r="I718" s="1428"/>
      <c r="J718" s="1429"/>
      <c r="K718" s="1342">
        <v>554</v>
      </c>
      <c r="L718" s="1343"/>
      <c r="M718" s="1343"/>
      <c r="N718" s="1344"/>
      <c r="O718" s="1333">
        <v>930</v>
      </c>
      <c r="P718" s="1334"/>
      <c r="Q718" s="1334"/>
      <c r="R718" s="1334"/>
      <c r="S718" s="1335"/>
      <c r="T718" s="1333"/>
      <c r="U718" s="1334"/>
      <c r="V718" s="1334"/>
      <c r="W718" s="1335"/>
      <c r="X718" s="1373">
        <f t="shared" ref="X718:X741" si="8">O718+T718</f>
        <v>930</v>
      </c>
      <c r="Y718" s="1374"/>
      <c r="Z718" s="1374"/>
      <c r="AA718" s="1374"/>
      <c r="AB718" s="1375"/>
      <c r="AC718" s="1432">
        <v>0.3</v>
      </c>
      <c r="AD718" s="1433"/>
      <c r="AE718" s="1433"/>
      <c r="AF718" s="1433"/>
      <c r="AG718" s="1434"/>
      <c r="AH718" s="1435">
        <f>IF($AC718&gt;0,($X718/$AZ718), "")</f>
        <v>0.3</v>
      </c>
      <c r="AI718" s="1436"/>
      <c r="AJ718" s="1437"/>
      <c r="AK718" s="1390" t="s">
        <v>591</v>
      </c>
      <c r="AL718" s="1391"/>
      <c r="AM718" s="1391"/>
      <c r="AN718" s="1391"/>
      <c r="AO718" s="1392"/>
      <c r="AP718" s="3"/>
      <c r="AQ718" s="3"/>
      <c r="AR718" s="3"/>
      <c r="AS718" s="3"/>
      <c r="AZ718" s="118">
        <f t="shared" ref="AZ718:AZ752" si="9">IF($G718=0,"N/A",VLOOKUP($T$189,TC_Rent,(MATCH($B718,bedrooms,FALSE)),FALSE))</f>
        <v>3100</v>
      </c>
      <c r="BA718" s="3"/>
      <c r="BB718" s="3"/>
      <c r="BC718" s="3"/>
      <c r="BD718" s="3"/>
      <c r="BE718" s="204"/>
      <c r="BF718" s="293">
        <f t="shared" ref="BF718:BF752" si="10">G718</f>
        <v>13</v>
      </c>
      <c r="BG718" s="297">
        <f t="shared" ref="BG718:BG752" si="11">IF($BF$753=0,0,BF718/$BF$753)</f>
        <v>6.5656565656565663E-2</v>
      </c>
      <c r="BH718" s="298">
        <f t="shared" ref="BH718:BH752" si="12">IF(BG718=0,"",BG718*AC718)</f>
        <v>1.9696969696969699E-2</v>
      </c>
      <c r="BI718" s="3"/>
      <c r="BJ718" s="3"/>
      <c r="BK718" s="3"/>
      <c r="BL718" s="3"/>
      <c r="BM718" s="3"/>
      <c r="BN718" s="3"/>
      <c r="BS718" s="293">
        <f t="shared" ref="BS718:BS752" si="13">G718</f>
        <v>13</v>
      </c>
      <c r="BT718" s="297">
        <f t="shared" ref="BT718:BT752" si="14">IF($BS$753=0,0,BS718/$BS$753)</f>
        <v>6.5656565656565663E-2</v>
      </c>
      <c r="BU718" s="298">
        <f t="shared" ref="BU718:BU752" si="15">IF(BT718=0,"",BT718*AH718)</f>
        <v>1.9696969696969699E-2</v>
      </c>
      <c r="CC718" s="3"/>
      <c r="CD718" s="3"/>
      <c r="CE718" s="3"/>
      <c r="CF718" s="3"/>
      <c r="CG718" s="1355">
        <f>IF(AND(AC718&lt;=0.5,AC718&gt;=0.36),1,0)</f>
        <v>0</v>
      </c>
      <c r="CH718" s="1357"/>
      <c r="CI718" s="1345">
        <f>IF(CG718=1,G718,0)</f>
        <v>0</v>
      </c>
      <c r="CJ718" s="1347"/>
      <c r="CK718" s="1355">
        <f t="shared" ref="CK718:CK752" si="16">IF(AND(AC718&lt;=0.35,AC718&gt;0),1,0)</f>
        <v>1</v>
      </c>
      <c r="CL718" s="1357"/>
      <c r="CM718" s="1345">
        <f t="shared" ref="CM718:CM752" si="17">IF(CK718=1,G718,0)</f>
        <v>13</v>
      </c>
      <c r="CN718" s="1347"/>
      <c r="CO718" s="3"/>
      <c r="CP718" s="1339">
        <f t="shared" ref="CP718:CP752" si="18">IF(B718="SRO/Studio",G718,0)</f>
        <v>0</v>
      </c>
      <c r="CQ718" s="1340"/>
      <c r="CR718" s="1340"/>
      <c r="CS718" s="1340"/>
      <c r="CT718" s="1341"/>
      <c r="CU718" s="1389">
        <f t="shared" ref="CU718:CU752" si="19">IF(B718="1 Bedroom",G718,0)</f>
        <v>13</v>
      </c>
      <c r="CV718" s="1389"/>
      <c r="CW718" s="1389"/>
      <c r="CX718" s="1389"/>
      <c r="CY718" s="1389"/>
      <c r="CZ718" s="1389">
        <f t="shared" ref="CZ718:CZ752" si="20">IF(B718="2 Bedrooms",G718,0)</f>
        <v>0</v>
      </c>
      <c r="DA718" s="1389"/>
      <c r="DB718" s="1389"/>
      <c r="DC718" s="1389"/>
      <c r="DD718" s="1389"/>
      <c r="DE718" s="1389">
        <f t="shared" ref="DE718:DE752" si="21">IF(B718="3 Bedrooms",G718,0)</f>
        <v>0</v>
      </c>
      <c r="DF718" s="1389"/>
      <c r="DG718" s="1389"/>
      <c r="DH718" s="1389"/>
      <c r="DI718" s="1389"/>
      <c r="DJ718" s="1389">
        <f t="shared" ref="DJ718:DJ752" si="22">IF(B718="4 Bedrooms",G718,0)</f>
        <v>0</v>
      </c>
      <c r="DK718" s="1389"/>
      <c r="DL718" s="1389"/>
      <c r="DM718" s="1389"/>
      <c r="DN718" s="1389"/>
      <c r="DO718" s="1389">
        <f t="shared" ref="DO718:DO752" si="23">IF(B718="5 Bedrooms",G718,0)</f>
        <v>0</v>
      </c>
      <c r="DP718" s="1389"/>
      <c r="DQ718" s="1389"/>
      <c r="DR718" s="1389"/>
      <c r="DS718" s="1389"/>
      <c r="DT718" s="6"/>
      <c r="DU718" s="1394">
        <f t="shared" ref="DU718:DU752" si="24">IF(AND(B718="SRO/Studio",AC718&lt;=0.3),G718,0)</f>
        <v>0</v>
      </c>
      <c r="DV718" s="1394"/>
      <c r="DW718" s="1394"/>
      <c r="DX718" s="1394"/>
      <c r="DY718" s="1394"/>
      <c r="DZ718" s="1394">
        <f t="shared" ref="DZ718:DZ752" si="25">IF(AND(B718="1 Bedroom",AC718&lt;=0.3),G718,0)</f>
        <v>13</v>
      </c>
      <c r="EA718" s="1394"/>
      <c r="EB718" s="1394"/>
      <c r="EC718" s="1394"/>
      <c r="ED718" s="1394"/>
      <c r="EE718" s="1394">
        <f t="shared" ref="EE718:EE752" si="26">IF(AND(B718="2 Bedrooms",AC718&lt;=0.3),G718,0)</f>
        <v>0</v>
      </c>
      <c r="EF718" s="1394"/>
      <c r="EG718" s="1394"/>
      <c r="EH718" s="1394"/>
      <c r="EI718" s="1394"/>
      <c r="EJ718" s="1394">
        <f t="shared" ref="EJ718:EJ752" si="27">IF(AND(B718="3 Bedrooms",AC718&lt;=0.3),G718,0)</f>
        <v>0</v>
      </c>
      <c r="EK718" s="1394"/>
      <c r="EL718" s="1394"/>
      <c r="EM718" s="1394"/>
      <c r="EN718" s="1394"/>
      <c r="EO718" s="1394">
        <f t="shared" ref="EO718:EO752" si="28">IF(AND(B718="4 Bedrooms",AC718&lt;=0.3),G718,0)</f>
        <v>0</v>
      </c>
      <c r="EP718" s="1394"/>
      <c r="EQ718" s="1394"/>
      <c r="ER718" s="1394"/>
      <c r="ES718" s="1394"/>
      <c r="ET718" s="1394">
        <f t="shared" ref="ET718:ET752" si="29">IF(AND(B718="5 Bedrooms",AC718&lt;=0.3),G718,0)</f>
        <v>0</v>
      </c>
      <c r="EU718" s="1394"/>
      <c r="EV718" s="1394"/>
      <c r="EW718" s="1394"/>
      <c r="EX718" s="1394"/>
      <c r="EY718" s="4"/>
      <c r="EZ718" s="1355" t="str">
        <f t="shared" ref="EZ718:EZ752" si="30">IF(CP718&gt;0,O718,"")</f>
        <v/>
      </c>
      <c r="FA718" s="1356"/>
      <c r="FB718" s="1356"/>
      <c r="FC718" s="1356"/>
      <c r="FD718" s="1357"/>
      <c r="FE718" s="1355">
        <f t="shared" ref="FE718:FE752" si="31">IF(CU718&gt;0,O718,"")</f>
        <v>930</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3" customHeight="1">
      <c r="A719" s="4"/>
      <c r="B719" s="1390" t="s">
        <v>325</v>
      </c>
      <c r="C719" s="1391"/>
      <c r="D719" s="1391"/>
      <c r="E719" s="1391"/>
      <c r="F719" s="1392"/>
      <c r="G719" s="1427">
        <v>13</v>
      </c>
      <c r="H719" s="1428"/>
      <c r="I719" s="1428"/>
      <c r="J719" s="1429"/>
      <c r="K719" s="1342">
        <v>554</v>
      </c>
      <c r="L719" s="1343"/>
      <c r="M719" s="1343"/>
      <c r="N719" s="1344"/>
      <c r="O719" s="1333">
        <v>1550</v>
      </c>
      <c r="P719" s="1334"/>
      <c r="Q719" s="1334"/>
      <c r="R719" s="1334"/>
      <c r="S719" s="1335"/>
      <c r="T719" s="1333"/>
      <c r="U719" s="1334"/>
      <c r="V719" s="1334"/>
      <c r="W719" s="1335"/>
      <c r="X719" s="1373">
        <f t="shared" si="8"/>
        <v>1550</v>
      </c>
      <c r="Y719" s="1374"/>
      <c r="Z719" s="1374"/>
      <c r="AA719" s="1374"/>
      <c r="AB719" s="1375"/>
      <c r="AC719" s="1432">
        <v>0.5</v>
      </c>
      <c r="AD719" s="1433"/>
      <c r="AE719" s="1433"/>
      <c r="AF719" s="1433"/>
      <c r="AG719" s="1434"/>
      <c r="AH719" s="1435">
        <f t="shared" ref="AH719:AH752" si="36">IF($AC719&gt;0,($X719/$AZ719), "")</f>
        <v>0.5</v>
      </c>
      <c r="AI719" s="1436"/>
      <c r="AJ719" s="1437"/>
      <c r="AK719" s="1390" t="s">
        <v>591</v>
      </c>
      <c r="AL719" s="1391"/>
      <c r="AM719" s="1391"/>
      <c r="AN719" s="1391"/>
      <c r="AO719" s="1392"/>
      <c r="AP719" s="3"/>
      <c r="AQ719" s="3"/>
      <c r="AR719" s="3"/>
      <c r="AS719" s="3"/>
      <c r="AZ719" s="118">
        <f t="shared" si="9"/>
        <v>3100</v>
      </c>
      <c r="BA719" s="3"/>
      <c r="BB719" s="3"/>
      <c r="BC719" s="3"/>
      <c r="BD719" s="3"/>
      <c r="BE719" s="204"/>
      <c r="BF719" s="294">
        <f t="shared" si="10"/>
        <v>13</v>
      </c>
      <c r="BG719" s="297">
        <f t="shared" si="11"/>
        <v>6.5656565656565663E-2</v>
      </c>
      <c r="BH719" s="298">
        <f t="shared" si="12"/>
        <v>3.2828282828282832E-2</v>
      </c>
      <c r="BI719" s="3"/>
      <c r="BJ719" s="3"/>
      <c r="BK719" s="3"/>
      <c r="BL719" s="3"/>
      <c r="BM719" s="3"/>
      <c r="BN719" s="3"/>
      <c r="BS719" s="294">
        <f t="shared" si="13"/>
        <v>13</v>
      </c>
      <c r="BT719" s="297">
        <f t="shared" si="14"/>
        <v>6.5656565656565663E-2</v>
      </c>
      <c r="BU719" s="298">
        <f t="shared" si="15"/>
        <v>3.2828282828282832E-2</v>
      </c>
      <c r="CC719" s="3"/>
      <c r="CD719" s="3"/>
      <c r="CE719" s="3"/>
      <c r="CF719" s="3"/>
      <c r="CG719" s="1355">
        <f t="shared" ref="CG719:CG752" si="37">IF(AND(AC719&lt;=0.5,AC719&gt;=0.36),1,0)</f>
        <v>1</v>
      </c>
      <c r="CH719" s="1357"/>
      <c r="CI719" s="1345">
        <f t="shared" ref="CI719:CI752" si="38">IF(CG719=1,G719,0)</f>
        <v>13</v>
      </c>
      <c r="CJ719" s="1347"/>
      <c r="CK719" s="1355">
        <f t="shared" si="16"/>
        <v>0</v>
      </c>
      <c r="CL719" s="1357"/>
      <c r="CM719" s="1345">
        <f t="shared" si="17"/>
        <v>0</v>
      </c>
      <c r="CN719" s="1347"/>
      <c r="CO719" s="3"/>
      <c r="CP719" s="1339">
        <f t="shared" si="18"/>
        <v>0</v>
      </c>
      <c r="CQ719" s="1340"/>
      <c r="CR719" s="1340"/>
      <c r="CS719" s="1340"/>
      <c r="CT719" s="1341"/>
      <c r="CU719" s="1389">
        <f t="shared" si="19"/>
        <v>13</v>
      </c>
      <c r="CV719" s="1389"/>
      <c r="CW719" s="1389"/>
      <c r="CX719" s="1389"/>
      <c r="CY719" s="1389"/>
      <c r="CZ719" s="1389">
        <f t="shared" si="20"/>
        <v>0</v>
      </c>
      <c r="DA719" s="1389"/>
      <c r="DB719" s="1389"/>
      <c r="DC719" s="1389"/>
      <c r="DD719" s="1389"/>
      <c r="DE719" s="1389">
        <f t="shared" si="21"/>
        <v>0</v>
      </c>
      <c r="DF719" s="1389"/>
      <c r="DG719" s="1389"/>
      <c r="DH719" s="1389"/>
      <c r="DI719" s="1389"/>
      <c r="DJ719" s="1389">
        <f t="shared" si="22"/>
        <v>0</v>
      </c>
      <c r="DK719" s="1389"/>
      <c r="DL719" s="1389"/>
      <c r="DM719" s="1389"/>
      <c r="DN719" s="1389"/>
      <c r="DO719" s="1389">
        <f t="shared" si="23"/>
        <v>0</v>
      </c>
      <c r="DP719" s="1389"/>
      <c r="DQ719" s="1389"/>
      <c r="DR719" s="1389"/>
      <c r="DS719" s="1389"/>
      <c r="DT719" s="6"/>
      <c r="DU719" s="1394">
        <f t="shared" si="24"/>
        <v>0</v>
      </c>
      <c r="DV719" s="1394"/>
      <c r="DW719" s="1394"/>
      <c r="DX719" s="1394"/>
      <c r="DY719" s="1394"/>
      <c r="DZ719" s="1394">
        <f t="shared" si="25"/>
        <v>0</v>
      </c>
      <c r="EA719" s="1394"/>
      <c r="EB719" s="1394"/>
      <c r="EC719" s="1394"/>
      <c r="ED719" s="1394"/>
      <c r="EE719" s="1394">
        <f t="shared" si="26"/>
        <v>0</v>
      </c>
      <c r="EF719" s="1394"/>
      <c r="EG719" s="1394"/>
      <c r="EH719" s="1394"/>
      <c r="EI719" s="1394"/>
      <c r="EJ719" s="1394">
        <f t="shared" si="27"/>
        <v>0</v>
      </c>
      <c r="EK719" s="1394"/>
      <c r="EL719" s="1394"/>
      <c r="EM719" s="1394"/>
      <c r="EN719" s="1394"/>
      <c r="EO719" s="1394">
        <f t="shared" si="28"/>
        <v>0</v>
      </c>
      <c r="EP719" s="1394"/>
      <c r="EQ719" s="1394"/>
      <c r="ER719" s="1394"/>
      <c r="ES719" s="1394"/>
      <c r="ET719" s="1394">
        <f t="shared" si="29"/>
        <v>0</v>
      </c>
      <c r="EU719" s="1394"/>
      <c r="EV719" s="1394"/>
      <c r="EW719" s="1394"/>
      <c r="EX719" s="1394"/>
      <c r="EY719" s="4"/>
      <c r="EZ719" s="1355" t="str">
        <f t="shared" si="30"/>
        <v/>
      </c>
      <c r="FA719" s="1356"/>
      <c r="FB719" s="1356"/>
      <c r="FC719" s="1356"/>
      <c r="FD719" s="1357"/>
      <c r="FE719" s="1355">
        <f t="shared" si="31"/>
        <v>1550</v>
      </c>
      <c r="FF719" s="1356"/>
      <c r="FG719" s="1356"/>
      <c r="FH719" s="1356"/>
      <c r="FI719" s="1357"/>
      <c r="FJ719" s="1355" t="str">
        <f t="shared" si="32"/>
        <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3" customHeight="1">
      <c r="A720" s="4"/>
      <c r="B720" s="1390" t="s">
        <v>325</v>
      </c>
      <c r="C720" s="1391"/>
      <c r="D720" s="1391"/>
      <c r="E720" s="1391"/>
      <c r="F720" s="1392"/>
      <c r="G720" s="1427">
        <v>80</v>
      </c>
      <c r="H720" s="1428"/>
      <c r="I720" s="1428"/>
      <c r="J720" s="1429"/>
      <c r="K720" s="1342">
        <v>554</v>
      </c>
      <c r="L720" s="1343"/>
      <c r="M720" s="1343"/>
      <c r="N720" s="1344"/>
      <c r="O720" s="1333">
        <v>1860</v>
      </c>
      <c r="P720" s="1334"/>
      <c r="Q720" s="1334"/>
      <c r="R720" s="1334"/>
      <c r="S720" s="1335"/>
      <c r="T720" s="1333"/>
      <c r="U720" s="1334"/>
      <c r="V720" s="1334"/>
      <c r="W720" s="1335"/>
      <c r="X720" s="1373">
        <f t="shared" si="8"/>
        <v>1860</v>
      </c>
      <c r="Y720" s="1374"/>
      <c r="Z720" s="1374"/>
      <c r="AA720" s="1374"/>
      <c r="AB720" s="1375"/>
      <c r="AC720" s="1432">
        <v>0.6</v>
      </c>
      <c r="AD720" s="1433"/>
      <c r="AE720" s="1433"/>
      <c r="AF720" s="1433"/>
      <c r="AG720" s="1434"/>
      <c r="AH720" s="1435">
        <f t="shared" si="36"/>
        <v>0.6</v>
      </c>
      <c r="AI720" s="1436"/>
      <c r="AJ720" s="1437"/>
      <c r="AK720" s="1390" t="s">
        <v>591</v>
      </c>
      <c r="AL720" s="1391"/>
      <c r="AM720" s="1391"/>
      <c r="AN720" s="1391"/>
      <c r="AO720" s="1392"/>
      <c r="AP720" s="3"/>
      <c r="AQ720" s="3"/>
      <c r="AR720" s="3"/>
      <c r="AS720" s="3"/>
      <c r="AZ720" s="118">
        <f t="shared" si="9"/>
        <v>3100</v>
      </c>
      <c r="BA720" s="3"/>
      <c r="BB720" s="3"/>
      <c r="BC720" s="3"/>
      <c r="BD720" s="3"/>
      <c r="BE720" s="204"/>
      <c r="BF720" s="294">
        <f t="shared" si="10"/>
        <v>80</v>
      </c>
      <c r="BG720" s="297">
        <f t="shared" si="11"/>
        <v>0.40404040404040403</v>
      </c>
      <c r="BH720" s="298">
        <f t="shared" si="12"/>
        <v>0.2424242424242424</v>
      </c>
      <c r="BI720" s="3"/>
      <c r="BJ720" s="3"/>
      <c r="BK720" s="3"/>
      <c r="BL720" s="3"/>
      <c r="BM720" s="3"/>
      <c r="BN720" s="3"/>
      <c r="BS720" s="294">
        <f t="shared" si="13"/>
        <v>80</v>
      </c>
      <c r="BT720" s="297">
        <f t="shared" si="14"/>
        <v>0.40404040404040403</v>
      </c>
      <c r="BU720" s="298">
        <f t="shared" si="15"/>
        <v>0.2424242424242424</v>
      </c>
      <c r="CC720" s="3"/>
      <c r="CD720" s="3"/>
      <c r="CE720" s="3"/>
      <c r="CF720" s="3"/>
      <c r="CG720" s="1355">
        <f t="shared" si="37"/>
        <v>0</v>
      </c>
      <c r="CH720" s="1357"/>
      <c r="CI720" s="1345">
        <f t="shared" si="38"/>
        <v>0</v>
      </c>
      <c r="CJ720" s="1347"/>
      <c r="CK720" s="1355">
        <f t="shared" si="16"/>
        <v>0</v>
      </c>
      <c r="CL720" s="1357"/>
      <c r="CM720" s="1345">
        <f t="shared" si="17"/>
        <v>0</v>
      </c>
      <c r="CN720" s="1347"/>
      <c r="CO720" s="3"/>
      <c r="CP720" s="1339">
        <f t="shared" si="18"/>
        <v>0</v>
      </c>
      <c r="CQ720" s="1340"/>
      <c r="CR720" s="1340"/>
      <c r="CS720" s="1340"/>
      <c r="CT720" s="1341"/>
      <c r="CU720" s="1389">
        <f t="shared" si="19"/>
        <v>80</v>
      </c>
      <c r="CV720" s="1389"/>
      <c r="CW720" s="1389"/>
      <c r="CX720" s="1389"/>
      <c r="CY720" s="1389"/>
      <c r="CZ720" s="1389">
        <f t="shared" si="20"/>
        <v>0</v>
      </c>
      <c r="DA720" s="1389"/>
      <c r="DB720" s="1389"/>
      <c r="DC720" s="1389"/>
      <c r="DD720" s="1389"/>
      <c r="DE720" s="1389">
        <f t="shared" si="21"/>
        <v>0</v>
      </c>
      <c r="DF720" s="1389"/>
      <c r="DG720" s="1389"/>
      <c r="DH720" s="1389"/>
      <c r="DI720" s="1389"/>
      <c r="DJ720" s="1389">
        <f t="shared" si="22"/>
        <v>0</v>
      </c>
      <c r="DK720" s="1389"/>
      <c r="DL720" s="1389"/>
      <c r="DM720" s="1389"/>
      <c r="DN720" s="1389"/>
      <c r="DO720" s="1389">
        <f t="shared" si="23"/>
        <v>0</v>
      </c>
      <c r="DP720" s="1389"/>
      <c r="DQ720" s="1389"/>
      <c r="DR720" s="1389"/>
      <c r="DS720" s="1389"/>
      <c r="DT720" s="6"/>
      <c r="DU720" s="1394">
        <f t="shared" si="24"/>
        <v>0</v>
      </c>
      <c r="DV720" s="1394"/>
      <c r="DW720" s="1394"/>
      <c r="DX720" s="1394"/>
      <c r="DY720" s="1394"/>
      <c r="DZ720" s="1394">
        <f t="shared" si="25"/>
        <v>0</v>
      </c>
      <c r="EA720" s="1394"/>
      <c r="EB720" s="1394"/>
      <c r="EC720" s="1394"/>
      <c r="ED720" s="1394"/>
      <c r="EE720" s="1394">
        <f t="shared" si="26"/>
        <v>0</v>
      </c>
      <c r="EF720" s="1394"/>
      <c r="EG720" s="1394"/>
      <c r="EH720" s="1394"/>
      <c r="EI720" s="1394"/>
      <c r="EJ720" s="1394">
        <f t="shared" si="27"/>
        <v>0</v>
      </c>
      <c r="EK720" s="1394"/>
      <c r="EL720" s="1394"/>
      <c r="EM720" s="1394"/>
      <c r="EN720" s="1394"/>
      <c r="EO720" s="1394">
        <f t="shared" si="28"/>
        <v>0</v>
      </c>
      <c r="EP720" s="1394"/>
      <c r="EQ720" s="1394"/>
      <c r="ER720" s="1394"/>
      <c r="ES720" s="1394"/>
      <c r="ET720" s="1394">
        <f t="shared" si="29"/>
        <v>0</v>
      </c>
      <c r="EU720" s="1394"/>
      <c r="EV720" s="1394"/>
      <c r="EW720" s="1394"/>
      <c r="EX720" s="1394"/>
      <c r="EZ720" s="1355" t="str">
        <f t="shared" si="30"/>
        <v/>
      </c>
      <c r="FA720" s="1356"/>
      <c r="FB720" s="1356"/>
      <c r="FC720" s="1356"/>
      <c r="FD720" s="1357"/>
      <c r="FE720" s="1355">
        <f t="shared" si="31"/>
        <v>1860</v>
      </c>
      <c r="FF720" s="1356"/>
      <c r="FG720" s="1356"/>
      <c r="FH720" s="1356"/>
      <c r="FI720" s="1357"/>
      <c r="FJ720" s="1355" t="str">
        <f t="shared" si="32"/>
        <v/>
      </c>
      <c r="FK720" s="1356"/>
      <c r="FL720" s="1356"/>
      <c r="FM720" s="1356"/>
      <c r="FN720" s="1357"/>
      <c r="FO720" s="1355" t="str">
        <f t="shared" si="33"/>
        <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3" customHeight="1">
      <c r="B721" s="1390" t="s">
        <v>325</v>
      </c>
      <c r="C721" s="1391"/>
      <c r="D721" s="1391"/>
      <c r="E721" s="1391"/>
      <c r="F721" s="1392"/>
      <c r="G721" s="1427">
        <v>26</v>
      </c>
      <c r="H721" s="1428"/>
      <c r="I721" s="1428"/>
      <c r="J721" s="1429"/>
      <c r="K721" s="1342">
        <v>554</v>
      </c>
      <c r="L721" s="1343"/>
      <c r="M721" s="1343"/>
      <c r="N721" s="1344"/>
      <c r="O721" s="1333">
        <v>2481</v>
      </c>
      <c r="P721" s="1334"/>
      <c r="Q721" s="1334"/>
      <c r="R721" s="1334"/>
      <c r="S721" s="1335"/>
      <c r="T721" s="1333"/>
      <c r="U721" s="1334"/>
      <c r="V721" s="1334"/>
      <c r="W721" s="1335"/>
      <c r="X721" s="1373">
        <f t="shared" si="8"/>
        <v>2481</v>
      </c>
      <c r="Y721" s="1374"/>
      <c r="Z721" s="1374"/>
      <c r="AA721" s="1374"/>
      <c r="AB721" s="1375"/>
      <c r="AC721" s="1432">
        <v>0.8</v>
      </c>
      <c r="AD721" s="1433"/>
      <c r="AE721" s="1433"/>
      <c r="AF721" s="1433"/>
      <c r="AG721" s="1434"/>
      <c r="AH721" s="1435">
        <f t="shared" si="36"/>
        <v>0.80032258064516126</v>
      </c>
      <c r="AI721" s="1436"/>
      <c r="AJ721" s="1437"/>
      <c r="AK721" s="1390" t="s">
        <v>591</v>
      </c>
      <c r="AL721" s="1391"/>
      <c r="AM721" s="1391"/>
      <c r="AN721" s="1391"/>
      <c r="AO721" s="1392"/>
      <c r="AP721" s="3"/>
      <c r="AQ721" s="3"/>
      <c r="AR721" s="3"/>
      <c r="AS721" s="3"/>
      <c r="AY721" s="116"/>
      <c r="AZ721" s="118">
        <f t="shared" si="9"/>
        <v>3100</v>
      </c>
      <c r="BA721" s="3"/>
      <c r="BB721" s="3"/>
      <c r="BC721" s="3"/>
      <c r="BD721" s="3"/>
      <c r="BE721" s="204"/>
      <c r="BF721" s="294">
        <f t="shared" si="10"/>
        <v>26</v>
      </c>
      <c r="BG721" s="297">
        <f t="shared" si="11"/>
        <v>0.13131313131313133</v>
      </c>
      <c r="BH721" s="298">
        <f t="shared" si="12"/>
        <v>0.10505050505050506</v>
      </c>
      <c r="BI721" s="3"/>
      <c r="BJ721" s="3"/>
      <c r="BK721" s="3"/>
      <c r="BL721" s="3"/>
      <c r="BM721" s="3"/>
      <c r="BN721" s="3"/>
      <c r="BS721" s="294">
        <f t="shared" si="13"/>
        <v>26</v>
      </c>
      <c r="BT721" s="297">
        <f t="shared" si="14"/>
        <v>0.13131313131313133</v>
      </c>
      <c r="BU721" s="298">
        <f t="shared" si="15"/>
        <v>0.1050928641251222</v>
      </c>
      <c r="CC721" s="3"/>
      <c r="CD721" s="3"/>
      <c r="CE721" s="3"/>
      <c r="CF721" s="3"/>
      <c r="CG721" s="1355">
        <f t="shared" si="37"/>
        <v>0</v>
      </c>
      <c r="CH721" s="1357"/>
      <c r="CI721" s="1345">
        <f t="shared" si="38"/>
        <v>0</v>
      </c>
      <c r="CJ721" s="1347"/>
      <c r="CK721" s="1355">
        <f t="shared" si="16"/>
        <v>0</v>
      </c>
      <c r="CL721" s="1357"/>
      <c r="CM721" s="1345">
        <f t="shared" si="17"/>
        <v>0</v>
      </c>
      <c r="CN721" s="1347"/>
      <c r="CO721" s="3"/>
      <c r="CP721" s="1339">
        <f t="shared" si="18"/>
        <v>0</v>
      </c>
      <c r="CQ721" s="1340"/>
      <c r="CR721" s="1340"/>
      <c r="CS721" s="1340"/>
      <c r="CT721" s="1341"/>
      <c r="CU721" s="1389">
        <f t="shared" si="19"/>
        <v>26</v>
      </c>
      <c r="CV721" s="1389"/>
      <c r="CW721" s="1389"/>
      <c r="CX721" s="1389"/>
      <c r="CY721" s="1389"/>
      <c r="CZ721" s="1389">
        <f t="shared" si="20"/>
        <v>0</v>
      </c>
      <c r="DA721" s="1389"/>
      <c r="DB721" s="1389"/>
      <c r="DC721" s="1389"/>
      <c r="DD721" s="1389"/>
      <c r="DE721" s="1389">
        <f t="shared" si="21"/>
        <v>0</v>
      </c>
      <c r="DF721" s="1389"/>
      <c r="DG721" s="1389"/>
      <c r="DH721" s="1389"/>
      <c r="DI721" s="1389"/>
      <c r="DJ721" s="1389">
        <f t="shared" si="22"/>
        <v>0</v>
      </c>
      <c r="DK721" s="1389"/>
      <c r="DL721" s="1389"/>
      <c r="DM721" s="1389"/>
      <c r="DN721" s="1389"/>
      <c r="DO721" s="1389">
        <f t="shared" si="23"/>
        <v>0</v>
      </c>
      <c r="DP721" s="1389"/>
      <c r="DQ721" s="1389"/>
      <c r="DR721" s="1389"/>
      <c r="DS721" s="1389"/>
      <c r="DT721" s="6"/>
      <c r="DU721" s="1394">
        <f t="shared" si="24"/>
        <v>0</v>
      </c>
      <c r="DV721" s="1394"/>
      <c r="DW721" s="1394"/>
      <c r="DX721" s="1394"/>
      <c r="DY721" s="1394"/>
      <c r="DZ721" s="1394">
        <f t="shared" si="25"/>
        <v>0</v>
      </c>
      <c r="EA721" s="1394"/>
      <c r="EB721" s="1394"/>
      <c r="EC721" s="1394"/>
      <c r="ED721" s="1394"/>
      <c r="EE721" s="1394">
        <f t="shared" si="26"/>
        <v>0</v>
      </c>
      <c r="EF721" s="1394"/>
      <c r="EG721" s="1394"/>
      <c r="EH721" s="1394"/>
      <c r="EI721" s="1394"/>
      <c r="EJ721" s="1394">
        <f t="shared" si="27"/>
        <v>0</v>
      </c>
      <c r="EK721" s="1394"/>
      <c r="EL721" s="1394"/>
      <c r="EM721" s="1394"/>
      <c r="EN721" s="1394"/>
      <c r="EO721" s="1394">
        <f t="shared" si="28"/>
        <v>0</v>
      </c>
      <c r="EP721" s="1394"/>
      <c r="EQ721" s="1394"/>
      <c r="ER721" s="1394"/>
      <c r="ES721" s="1394"/>
      <c r="ET721" s="1394">
        <f t="shared" si="29"/>
        <v>0</v>
      </c>
      <c r="EU721" s="1394"/>
      <c r="EV721" s="1394"/>
      <c r="EW721" s="1394"/>
      <c r="EX721" s="1394"/>
      <c r="EZ721" s="1355" t="str">
        <f t="shared" si="30"/>
        <v/>
      </c>
      <c r="FA721" s="1356"/>
      <c r="FB721" s="1356"/>
      <c r="FC721" s="1356"/>
      <c r="FD721" s="1357"/>
      <c r="FE721" s="1355">
        <f t="shared" si="31"/>
        <v>2481</v>
      </c>
      <c r="FF721" s="1356"/>
      <c r="FG721" s="1356"/>
      <c r="FH721" s="1356"/>
      <c r="FI721" s="1357"/>
      <c r="FJ721" s="1355" t="str">
        <f t="shared" si="32"/>
        <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3" customHeight="1">
      <c r="B722" s="1390" t="s">
        <v>163</v>
      </c>
      <c r="C722" s="1391"/>
      <c r="D722" s="1391"/>
      <c r="E722" s="1391"/>
      <c r="F722" s="1392"/>
      <c r="G722" s="1427">
        <v>7</v>
      </c>
      <c r="H722" s="1428"/>
      <c r="I722" s="1428"/>
      <c r="J722" s="1429"/>
      <c r="K722" s="1342">
        <v>702</v>
      </c>
      <c r="L722" s="1343"/>
      <c r="M722" s="1343"/>
      <c r="N722" s="1344"/>
      <c r="O722" s="1333">
        <v>1116</v>
      </c>
      <c r="P722" s="1334"/>
      <c r="Q722" s="1334"/>
      <c r="R722" s="1334"/>
      <c r="S722" s="1335"/>
      <c r="T722" s="1333"/>
      <c r="U722" s="1334"/>
      <c r="V722" s="1334"/>
      <c r="W722" s="1335"/>
      <c r="X722" s="1373">
        <f t="shared" si="8"/>
        <v>1116</v>
      </c>
      <c r="Y722" s="1374"/>
      <c r="Z722" s="1374"/>
      <c r="AA722" s="1374"/>
      <c r="AB722" s="1375"/>
      <c r="AC722" s="1432">
        <v>0.3</v>
      </c>
      <c r="AD722" s="1433"/>
      <c r="AE722" s="1433"/>
      <c r="AF722" s="1433"/>
      <c r="AG722" s="1434"/>
      <c r="AH722" s="1435">
        <f t="shared" si="36"/>
        <v>0.29983879634605048</v>
      </c>
      <c r="AI722" s="1436"/>
      <c r="AJ722" s="1437"/>
      <c r="AK722" s="1390" t="s">
        <v>591</v>
      </c>
      <c r="AL722" s="1391"/>
      <c r="AM722" s="1391"/>
      <c r="AN722" s="1391"/>
      <c r="AO722" s="1392"/>
      <c r="AP722" s="3"/>
      <c r="AQ722" s="3"/>
      <c r="AR722" s="3"/>
      <c r="AS722" s="3"/>
      <c r="AY722" s="116"/>
      <c r="AZ722" s="118">
        <f t="shared" si="9"/>
        <v>3722</v>
      </c>
      <c r="BA722" s="3"/>
      <c r="BB722" s="3"/>
      <c r="BC722" s="3"/>
      <c r="BD722" s="3"/>
      <c r="BE722" s="204"/>
      <c r="BF722" s="294">
        <f t="shared" si="10"/>
        <v>7</v>
      </c>
      <c r="BG722" s="297">
        <f t="shared" si="11"/>
        <v>3.5353535353535352E-2</v>
      </c>
      <c r="BH722" s="298">
        <f t="shared" si="12"/>
        <v>1.0606060606060605E-2</v>
      </c>
      <c r="BI722" s="3"/>
      <c r="BJ722" s="3"/>
      <c r="BK722" s="3"/>
      <c r="BL722" s="3"/>
      <c r="BM722" s="3"/>
      <c r="BN722" s="3"/>
      <c r="BS722" s="294">
        <f t="shared" si="13"/>
        <v>7</v>
      </c>
      <c r="BT722" s="297">
        <f t="shared" si="14"/>
        <v>3.5353535353535352E-2</v>
      </c>
      <c r="BU722" s="298">
        <f t="shared" si="15"/>
        <v>1.0600361486981583E-2</v>
      </c>
      <c r="CC722" s="3"/>
      <c r="CD722" s="3"/>
      <c r="CE722" s="3"/>
      <c r="CF722" s="3"/>
      <c r="CG722" s="1355">
        <f t="shared" si="37"/>
        <v>0</v>
      </c>
      <c r="CH722" s="1357"/>
      <c r="CI722" s="1345">
        <f t="shared" si="38"/>
        <v>0</v>
      </c>
      <c r="CJ722" s="1347"/>
      <c r="CK722" s="1355">
        <f t="shared" si="16"/>
        <v>1</v>
      </c>
      <c r="CL722" s="1357"/>
      <c r="CM722" s="1345">
        <f t="shared" si="17"/>
        <v>7</v>
      </c>
      <c r="CN722" s="1347"/>
      <c r="CO722" s="3"/>
      <c r="CP722" s="1339">
        <f t="shared" si="18"/>
        <v>0</v>
      </c>
      <c r="CQ722" s="1340"/>
      <c r="CR722" s="1340"/>
      <c r="CS722" s="1340"/>
      <c r="CT722" s="1341"/>
      <c r="CU722" s="1389">
        <f t="shared" si="19"/>
        <v>0</v>
      </c>
      <c r="CV722" s="1389"/>
      <c r="CW722" s="1389"/>
      <c r="CX722" s="1389"/>
      <c r="CY722" s="1389"/>
      <c r="CZ722" s="1389">
        <f t="shared" si="20"/>
        <v>7</v>
      </c>
      <c r="DA722" s="1389"/>
      <c r="DB722" s="1389"/>
      <c r="DC722" s="1389"/>
      <c r="DD722" s="1389"/>
      <c r="DE722" s="1389">
        <f t="shared" si="21"/>
        <v>0</v>
      </c>
      <c r="DF722" s="1389"/>
      <c r="DG722" s="1389"/>
      <c r="DH722" s="1389"/>
      <c r="DI722" s="1389"/>
      <c r="DJ722" s="1389">
        <f t="shared" si="22"/>
        <v>0</v>
      </c>
      <c r="DK722" s="1389"/>
      <c r="DL722" s="1389"/>
      <c r="DM722" s="1389"/>
      <c r="DN722" s="1389"/>
      <c r="DO722" s="1389">
        <f t="shared" si="23"/>
        <v>0</v>
      </c>
      <c r="DP722" s="1389"/>
      <c r="DQ722" s="1389"/>
      <c r="DR722" s="1389"/>
      <c r="DS722" s="1389"/>
      <c r="DT722" s="6"/>
      <c r="DU722" s="1394">
        <f t="shared" si="24"/>
        <v>0</v>
      </c>
      <c r="DV722" s="1394"/>
      <c r="DW722" s="1394"/>
      <c r="DX722" s="1394"/>
      <c r="DY722" s="1394"/>
      <c r="DZ722" s="1394">
        <f t="shared" si="25"/>
        <v>0</v>
      </c>
      <c r="EA722" s="1394"/>
      <c r="EB722" s="1394"/>
      <c r="EC722" s="1394"/>
      <c r="ED722" s="1394"/>
      <c r="EE722" s="1394">
        <f t="shared" si="26"/>
        <v>7</v>
      </c>
      <c r="EF722" s="1394"/>
      <c r="EG722" s="1394"/>
      <c r="EH722" s="1394"/>
      <c r="EI722" s="1394"/>
      <c r="EJ722" s="1394">
        <f t="shared" si="27"/>
        <v>0</v>
      </c>
      <c r="EK722" s="1394"/>
      <c r="EL722" s="1394"/>
      <c r="EM722" s="1394"/>
      <c r="EN722" s="1394"/>
      <c r="EO722" s="1394">
        <f t="shared" si="28"/>
        <v>0</v>
      </c>
      <c r="EP722" s="1394"/>
      <c r="EQ722" s="1394"/>
      <c r="ER722" s="1394"/>
      <c r="ES722" s="1394"/>
      <c r="ET722" s="1394">
        <f t="shared" si="29"/>
        <v>0</v>
      </c>
      <c r="EU722" s="1394"/>
      <c r="EV722" s="1394"/>
      <c r="EW722" s="1394"/>
      <c r="EX722" s="1394"/>
      <c r="EZ722" s="1355" t="str">
        <f t="shared" si="30"/>
        <v/>
      </c>
      <c r="FA722" s="1356"/>
      <c r="FB722" s="1356"/>
      <c r="FC722" s="1356"/>
      <c r="FD722" s="1357"/>
      <c r="FE722" s="1355" t="str">
        <f t="shared" si="31"/>
        <v/>
      </c>
      <c r="FF722" s="1356"/>
      <c r="FG722" s="1356"/>
      <c r="FH722" s="1356"/>
      <c r="FI722" s="1357"/>
      <c r="FJ722" s="1355">
        <f t="shared" si="32"/>
        <v>1116</v>
      </c>
      <c r="FK722" s="1356"/>
      <c r="FL722" s="1356"/>
      <c r="FM722" s="1356"/>
      <c r="FN722" s="1357"/>
      <c r="FO722" s="1355" t="str">
        <f t="shared" si="33"/>
        <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3" customHeight="1">
      <c r="B723" s="1390" t="s">
        <v>163</v>
      </c>
      <c r="C723" s="1391"/>
      <c r="D723" s="1391"/>
      <c r="E723" s="1391"/>
      <c r="F723" s="1392"/>
      <c r="G723" s="1427">
        <v>7</v>
      </c>
      <c r="H723" s="1428"/>
      <c r="I723" s="1428"/>
      <c r="J723" s="1429"/>
      <c r="K723" s="1342">
        <v>702</v>
      </c>
      <c r="L723" s="1343"/>
      <c r="M723" s="1343"/>
      <c r="N723" s="1344"/>
      <c r="O723" s="1333">
        <v>1861</v>
      </c>
      <c r="P723" s="1334"/>
      <c r="Q723" s="1334"/>
      <c r="R723" s="1334"/>
      <c r="S723" s="1335"/>
      <c r="T723" s="1333"/>
      <c r="U723" s="1334"/>
      <c r="V723" s="1334"/>
      <c r="W723" s="1335"/>
      <c r="X723" s="1373">
        <f t="shared" si="8"/>
        <v>1861</v>
      </c>
      <c r="Y723" s="1374"/>
      <c r="Z723" s="1374"/>
      <c r="AA723" s="1374"/>
      <c r="AB723" s="1375"/>
      <c r="AC723" s="1432">
        <v>0.5</v>
      </c>
      <c r="AD723" s="1433"/>
      <c r="AE723" s="1433"/>
      <c r="AF723" s="1433"/>
      <c r="AG723" s="1434"/>
      <c r="AH723" s="1435">
        <f t="shared" si="36"/>
        <v>0.5</v>
      </c>
      <c r="AI723" s="1436"/>
      <c r="AJ723" s="1437"/>
      <c r="AK723" s="1390" t="s">
        <v>591</v>
      </c>
      <c r="AL723" s="1391"/>
      <c r="AM723" s="1391"/>
      <c r="AN723" s="1391"/>
      <c r="AO723" s="1392"/>
      <c r="AP723" s="3"/>
      <c r="AQ723" s="3"/>
      <c r="AR723" s="3"/>
      <c r="AS723" s="3"/>
      <c r="AY723" s="116"/>
      <c r="AZ723" s="118">
        <f t="shared" si="9"/>
        <v>3722</v>
      </c>
      <c r="BA723" s="3"/>
      <c r="BB723" s="3"/>
      <c r="BC723" s="3"/>
      <c r="BD723" s="3"/>
      <c r="BE723" s="204"/>
      <c r="BF723" s="294">
        <f t="shared" si="10"/>
        <v>7</v>
      </c>
      <c r="BG723" s="297">
        <f t="shared" si="11"/>
        <v>3.5353535353535352E-2</v>
      </c>
      <c r="BH723" s="298">
        <f t="shared" si="12"/>
        <v>1.7676767676767676E-2</v>
      </c>
      <c r="BI723" s="3"/>
      <c r="BJ723" s="3"/>
      <c r="BK723" s="3"/>
      <c r="BL723" s="3"/>
      <c r="BM723" s="3"/>
      <c r="BN723" s="3"/>
      <c r="BS723" s="294">
        <f t="shared" si="13"/>
        <v>7</v>
      </c>
      <c r="BT723" s="297">
        <f t="shared" si="14"/>
        <v>3.5353535353535352E-2</v>
      </c>
      <c r="BU723" s="298">
        <f t="shared" si="15"/>
        <v>1.7676767676767676E-2</v>
      </c>
      <c r="CC723" s="3"/>
      <c r="CD723" s="3"/>
      <c r="CE723" s="3"/>
      <c r="CF723" s="3"/>
      <c r="CG723" s="1355">
        <f t="shared" si="37"/>
        <v>1</v>
      </c>
      <c r="CH723" s="1357"/>
      <c r="CI723" s="1345">
        <f t="shared" si="38"/>
        <v>7</v>
      </c>
      <c r="CJ723" s="1347"/>
      <c r="CK723" s="1355">
        <f t="shared" si="16"/>
        <v>0</v>
      </c>
      <c r="CL723" s="1357"/>
      <c r="CM723" s="1345">
        <f t="shared" si="17"/>
        <v>0</v>
      </c>
      <c r="CN723" s="1347"/>
      <c r="CO723" s="3"/>
      <c r="CP723" s="1339">
        <f t="shared" si="18"/>
        <v>0</v>
      </c>
      <c r="CQ723" s="1340"/>
      <c r="CR723" s="1340"/>
      <c r="CS723" s="1340"/>
      <c r="CT723" s="1341"/>
      <c r="CU723" s="1389">
        <f t="shared" si="19"/>
        <v>0</v>
      </c>
      <c r="CV723" s="1389"/>
      <c r="CW723" s="1389"/>
      <c r="CX723" s="1389"/>
      <c r="CY723" s="1389"/>
      <c r="CZ723" s="1389">
        <f t="shared" si="20"/>
        <v>7</v>
      </c>
      <c r="DA723" s="1389"/>
      <c r="DB723" s="1389"/>
      <c r="DC723" s="1389"/>
      <c r="DD723" s="1389"/>
      <c r="DE723" s="1389">
        <f t="shared" si="21"/>
        <v>0</v>
      </c>
      <c r="DF723" s="1389"/>
      <c r="DG723" s="1389"/>
      <c r="DH723" s="1389"/>
      <c r="DI723" s="1389"/>
      <c r="DJ723" s="1389">
        <f t="shared" si="22"/>
        <v>0</v>
      </c>
      <c r="DK723" s="1389"/>
      <c r="DL723" s="1389"/>
      <c r="DM723" s="1389"/>
      <c r="DN723" s="1389"/>
      <c r="DO723" s="1389">
        <f t="shared" si="23"/>
        <v>0</v>
      </c>
      <c r="DP723" s="1389"/>
      <c r="DQ723" s="1389"/>
      <c r="DR723" s="1389"/>
      <c r="DS723" s="1389"/>
      <c r="DT723" s="6"/>
      <c r="DU723" s="1394">
        <f t="shared" si="24"/>
        <v>0</v>
      </c>
      <c r="DV723" s="1394"/>
      <c r="DW723" s="1394"/>
      <c r="DX723" s="1394"/>
      <c r="DY723" s="1394"/>
      <c r="DZ723" s="1394">
        <f t="shared" si="25"/>
        <v>0</v>
      </c>
      <c r="EA723" s="1394"/>
      <c r="EB723" s="1394"/>
      <c r="EC723" s="1394"/>
      <c r="ED723" s="1394"/>
      <c r="EE723" s="1394">
        <f t="shared" si="26"/>
        <v>0</v>
      </c>
      <c r="EF723" s="1394"/>
      <c r="EG723" s="1394"/>
      <c r="EH723" s="1394"/>
      <c r="EI723" s="1394"/>
      <c r="EJ723" s="1394">
        <f t="shared" si="27"/>
        <v>0</v>
      </c>
      <c r="EK723" s="1394"/>
      <c r="EL723" s="1394"/>
      <c r="EM723" s="1394"/>
      <c r="EN723" s="1394"/>
      <c r="EO723" s="1394">
        <f t="shared" si="28"/>
        <v>0</v>
      </c>
      <c r="EP723" s="1394"/>
      <c r="EQ723" s="1394"/>
      <c r="ER723" s="1394"/>
      <c r="ES723" s="1394"/>
      <c r="ET723" s="1394">
        <f t="shared" si="29"/>
        <v>0</v>
      </c>
      <c r="EU723" s="1394"/>
      <c r="EV723" s="1394"/>
      <c r="EW723" s="1394"/>
      <c r="EX723" s="1394"/>
      <c r="EZ723" s="1355" t="str">
        <f t="shared" si="30"/>
        <v/>
      </c>
      <c r="FA723" s="1356"/>
      <c r="FB723" s="1356"/>
      <c r="FC723" s="1356"/>
      <c r="FD723" s="1357"/>
      <c r="FE723" s="1355" t="str">
        <f t="shared" si="31"/>
        <v/>
      </c>
      <c r="FF723" s="1356"/>
      <c r="FG723" s="1356"/>
      <c r="FH723" s="1356"/>
      <c r="FI723" s="1357"/>
      <c r="FJ723" s="1355">
        <f t="shared" si="32"/>
        <v>1861</v>
      </c>
      <c r="FK723" s="1356"/>
      <c r="FL723" s="1356"/>
      <c r="FM723" s="1356"/>
      <c r="FN723" s="1357"/>
      <c r="FO723" s="1355" t="str">
        <f t="shared" si="33"/>
        <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3" customHeight="1">
      <c r="B724" s="1390" t="s">
        <v>163</v>
      </c>
      <c r="C724" s="1391"/>
      <c r="D724" s="1391"/>
      <c r="E724" s="1391"/>
      <c r="F724" s="1392"/>
      <c r="G724" s="1427">
        <v>41</v>
      </c>
      <c r="H724" s="1428"/>
      <c r="I724" s="1428"/>
      <c r="J724" s="1429"/>
      <c r="K724" s="1342">
        <v>702</v>
      </c>
      <c r="L724" s="1343"/>
      <c r="M724" s="1343"/>
      <c r="N724" s="1344"/>
      <c r="O724" s="1333">
        <v>2233</v>
      </c>
      <c r="P724" s="1334"/>
      <c r="Q724" s="1334"/>
      <c r="R724" s="1334"/>
      <c r="S724" s="1335"/>
      <c r="T724" s="1333"/>
      <c r="U724" s="1334"/>
      <c r="V724" s="1334"/>
      <c r="W724" s="1335"/>
      <c r="X724" s="1373">
        <f t="shared" si="8"/>
        <v>2233</v>
      </c>
      <c r="Y724" s="1374"/>
      <c r="Z724" s="1374"/>
      <c r="AA724" s="1374"/>
      <c r="AB724" s="1375"/>
      <c r="AC724" s="1432">
        <v>0.6</v>
      </c>
      <c r="AD724" s="1433"/>
      <c r="AE724" s="1433"/>
      <c r="AF724" s="1433"/>
      <c r="AG724" s="1434"/>
      <c r="AH724" s="1435">
        <f t="shared" si="36"/>
        <v>0.59994626544868346</v>
      </c>
      <c r="AI724" s="1436"/>
      <c r="AJ724" s="1437"/>
      <c r="AK724" s="1390" t="s">
        <v>591</v>
      </c>
      <c r="AL724" s="1391"/>
      <c r="AM724" s="1391"/>
      <c r="AN724" s="1391"/>
      <c r="AO724" s="1392"/>
      <c r="AP724" s="3"/>
      <c r="AQ724" s="3"/>
      <c r="AR724" s="3"/>
      <c r="AS724" s="3"/>
      <c r="AY724" s="116"/>
      <c r="AZ724" s="118">
        <f t="shared" si="9"/>
        <v>3722</v>
      </c>
      <c r="BA724" s="3"/>
      <c r="BB724" s="3"/>
      <c r="BC724" s="3"/>
      <c r="BD724" s="3"/>
      <c r="BE724" s="204"/>
      <c r="BF724" s="294">
        <f t="shared" si="10"/>
        <v>41</v>
      </c>
      <c r="BG724" s="297">
        <f t="shared" si="11"/>
        <v>0.20707070707070707</v>
      </c>
      <c r="BH724" s="298">
        <f t="shared" si="12"/>
        <v>0.12424242424242424</v>
      </c>
      <c r="BI724" s="3"/>
      <c r="BJ724" s="3"/>
      <c r="BK724" s="3"/>
      <c r="BL724" s="3"/>
      <c r="BM724" s="3"/>
      <c r="BN724" s="3"/>
      <c r="BS724" s="294">
        <f t="shared" si="13"/>
        <v>41</v>
      </c>
      <c r="BT724" s="297">
        <f t="shared" si="14"/>
        <v>0.20707070707070707</v>
      </c>
      <c r="BU724" s="298">
        <f t="shared" si="15"/>
        <v>0.12423129739088901</v>
      </c>
      <c r="CC724" s="3"/>
      <c r="CE724" s="3"/>
      <c r="CF724" s="3"/>
      <c r="CG724" s="1355">
        <f t="shared" si="37"/>
        <v>0</v>
      </c>
      <c r="CH724" s="1357"/>
      <c r="CI724" s="1345">
        <f t="shared" si="38"/>
        <v>0</v>
      </c>
      <c r="CJ724" s="1347"/>
      <c r="CK724" s="1355">
        <f t="shared" si="16"/>
        <v>0</v>
      </c>
      <c r="CL724" s="1357"/>
      <c r="CM724" s="1345">
        <f t="shared" si="17"/>
        <v>0</v>
      </c>
      <c r="CN724" s="1347"/>
      <c r="CO724" s="3"/>
      <c r="CP724" s="1339">
        <f t="shared" si="18"/>
        <v>0</v>
      </c>
      <c r="CQ724" s="1340"/>
      <c r="CR724" s="1340"/>
      <c r="CS724" s="1340"/>
      <c r="CT724" s="1341"/>
      <c r="CU724" s="1389">
        <f t="shared" si="19"/>
        <v>0</v>
      </c>
      <c r="CV724" s="1389"/>
      <c r="CW724" s="1389"/>
      <c r="CX724" s="1389"/>
      <c r="CY724" s="1389"/>
      <c r="CZ724" s="1389">
        <f t="shared" si="20"/>
        <v>41</v>
      </c>
      <c r="DA724" s="1389"/>
      <c r="DB724" s="1389"/>
      <c r="DC724" s="1389"/>
      <c r="DD724" s="1389"/>
      <c r="DE724" s="1389">
        <f t="shared" si="21"/>
        <v>0</v>
      </c>
      <c r="DF724" s="1389"/>
      <c r="DG724" s="1389"/>
      <c r="DH724" s="1389"/>
      <c r="DI724" s="1389"/>
      <c r="DJ724" s="1389">
        <f t="shared" si="22"/>
        <v>0</v>
      </c>
      <c r="DK724" s="1389"/>
      <c r="DL724" s="1389"/>
      <c r="DM724" s="1389"/>
      <c r="DN724" s="1389"/>
      <c r="DO724" s="1389">
        <f t="shared" si="23"/>
        <v>0</v>
      </c>
      <c r="DP724" s="1389"/>
      <c r="DQ724" s="1389"/>
      <c r="DR724" s="1389"/>
      <c r="DS724" s="1389"/>
      <c r="DT724" s="6"/>
      <c r="DU724" s="1394">
        <f t="shared" si="24"/>
        <v>0</v>
      </c>
      <c r="DV724" s="1394"/>
      <c r="DW724" s="1394"/>
      <c r="DX724" s="1394"/>
      <c r="DY724" s="1394"/>
      <c r="DZ724" s="1394">
        <f t="shared" si="25"/>
        <v>0</v>
      </c>
      <c r="EA724" s="1394"/>
      <c r="EB724" s="1394"/>
      <c r="EC724" s="1394"/>
      <c r="ED724" s="1394"/>
      <c r="EE724" s="1394">
        <f t="shared" si="26"/>
        <v>0</v>
      </c>
      <c r="EF724" s="1394"/>
      <c r="EG724" s="1394"/>
      <c r="EH724" s="1394"/>
      <c r="EI724" s="1394"/>
      <c r="EJ724" s="1394">
        <f t="shared" si="27"/>
        <v>0</v>
      </c>
      <c r="EK724" s="1394"/>
      <c r="EL724" s="1394"/>
      <c r="EM724" s="1394"/>
      <c r="EN724" s="1394"/>
      <c r="EO724" s="1394">
        <f t="shared" si="28"/>
        <v>0</v>
      </c>
      <c r="EP724" s="1394"/>
      <c r="EQ724" s="1394"/>
      <c r="ER724" s="1394"/>
      <c r="ES724" s="1394"/>
      <c r="ET724" s="1394">
        <f t="shared" si="29"/>
        <v>0</v>
      </c>
      <c r="EU724" s="1394"/>
      <c r="EV724" s="1394"/>
      <c r="EW724" s="1394"/>
      <c r="EX724" s="1394"/>
      <c r="EZ724" s="1355" t="str">
        <f t="shared" si="30"/>
        <v/>
      </c>
      <c r="FA724" s="1356"/>
      <c r="FB724" s="1356"/>
      <c r="FC724" s="1356"/>
      <c r="FD724" s="1357"/>
      <c r="FE724" s="1355" t="str">
        <f t="shared" si="31"/>
        <v/>
      </c>
      <c r="FF724" s="1356"/>
      <c r="FG724" s="1356"/>
      <c r="FH724" s="1356"/>
      <c r="FI724" s="1357"/>
      <c r="FJ724" s="1355">
        <f t="shared" si="32"/>
        <v>2233</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3" customHeight="1">
      <c r="B725" s="1390" t="s">
        <v>163</v>
      </c>
      <c r="C725" s="1391"/>
      <c r="D725" s="1391"/>
      <c r="E725" s="1391"/>
      <c r="F725" s="1392"/>
      <c r="G725" s="1427">
        <v>11</v>
      </c>
      <c r="H725" s="1428"/>
      <c r="I725" s="1428"/>
      <c r="J725" s="1429"/>
      <c r="K725" s="1342">
        <v>702</v>
      </c>
      <c r="L725" s="1343"/>
      <c r="M725" s="1343"/>
      <c r="N725" s="1344"/>
      <c r="O725" s="1333">
        <v>2978</v>
      </c>
      <c r="P725" s="1334"/>
      <c r="Q725" s="1334"/>
      <c r="R725" s="1334"/>
      <c r="S725" s="1335"/>
      <c r="T725" s="1333"/>
      <c r="U725" s="1334"/>
      <c r="V725" s="1334"/>
      <c r="W725" s="1335"/>
      <c r="X725" s="1373">
        <f t="shared" si="8"/>
        <v>2978</v>
      </c>
      <c r="Y725" s="1374"/>
      <c r="Z725" s="1374"/>
      <c r="AA725" s="1374"/>
      <c r="AB725" s="1375"/>
      <c r="AC725" s="1432">
        <v>0.8</v>
      </c>
      <c r="AD725" s="1433"/>
      <c r="AE725" s="1433"/>
      <c r="AF725" s="1433"/>
      <c r="AG725" s="1434"/>
      <c r="AH725" s="1435">
        <f t="shared" si="36"/>
        <v>0.80010746910263297</v>
      </c>
      <c r="AI725" s="1436"/>
      <c r="AJ725" s="1437"/>
      <c r="AK725" s="1390" t="s">
        <v>591</v>
      </c>
      <c r="AL725" s="1391"/>
      <c r="AM725" s="1391"/>
      <c r="AN725" s="1391"/>
      <c r="AO725" s="1392"/>
      <c r="AP725" s="3"/>
      <c r="AQ725" s="3"/>
      <c r="AR725" s="3"/>
      <c r="AS725" s="3"/>
      <c r="AY725" s="1085"/>
      <c r="AZ725" s="118">
        <f t="shared" si="9"/>
        <v>3722</v>
      </c>
      <c r="BA725" s="3"/>
      <c r="BB725" s="3"/>
      <c r="BC725" s="3"/>
      <c r="BD725" s="3"/>
      <c r="BE725" s="204"/>
      <c r="BF725" s="294">
        <f t="shared" si="10"/>
        <v>11</v>
      </c>
      <c r="BG725" s="297">
        <f t="shared" si="11"/>
        <v>5.5555555555555552E-2</v>
      </c>
      <c r="BH725" s="298">
        <f t="shared" si="12"/>
        <v>4.4444444444444446E-2</v>
      </c>
      <c r="BI725" s="3"/>
      <c r="BJ725" s="3"/>
      <c r="BK725" s="3"/>
      <c r="BL725" s="3"/>
      <c r="BM725" s="3"/>
      <c r="BN725" s="3"/>
      <c r="BS725" s="294">
        <f t="shared" si="13"/>
        <v>11</v>
      </c>
      <c r="BT725" s="297">
        <f t="shared" si="14"/>
        <v>5.5555555555555552E-2</v>
      </c>
      <c r="BU725" s="298">
        <f t="shared" si="15"/>
        <v>4.4450414950146275E-2</v>
      </c>
      <c r="BV725" s="292"/>
      <c r="BW725" s="3"/>
      <c r="BX725" s="3"/>
      <c r="BY725" s="3"/>
      <c r="BZ725" s="3"/>
      <c r="CA725" s="3"/>
      <c r="CB725" s="3"/>
      <c r="CC725" s="3"/>
      <c r="CE725" s="3"/>
      <c r="CF725" s="3"/>
      <c r="CG725" s="1355">
        <f t="shared" si="37"/>
        <v>0</v>
      </c>
      <c r="CH725" s="1357"/>
      <c r="CI725" s="1345">
        <f t="shared" si="38"/>
        <v>0</v>
      </c>
      <c r="CJ725" s="1347"/>
      <c r="CK725" s="1355">
        <f t="shared" si="16"/>
        <v>0</v>
      </c>
      <c r="CL725" s="1357"/>
      <c r="CM725" s="1345">
        <f t="shared" si="17"/>
        <v>0</v>
      </c>
      <c r="CN725" s="1347"/>
      <c r="CO725" s="3"/>
      <c r="CP725" s="1339">
        <f t="shared" si="18"/>
        <v>0</v>
      </c>
      <c r="CQ725" s="1340"/>
      <c r="CR725" s="1340"/>
      <c r="CS725" s="1340"/>
      <c r="CT725" s="1341"/>
      <c r="CU725" s="1389">
        <f t="shared" si="19"/>
        <v>0</v>
      </c>
      <c r="CV725" s="1389"/>
      <c r="CW725" s="1389"/>
      <c r="CX725" s="1389"/>
      <c r="CY725" s="1389"/>
      <c r="CZ725" s="1389">
        <f t="shared" si="20"/>
        <v>11</v>
      </c>
      <c r="DA725" s="1389"/>
      <c r="DB725" s="1389"/>
      <c r="DC725" s="1389"/>
      <c r="DD725" s="1389"/>
      <c r="DE725" s="1389">
        <f t="shared" si="21"/>
        <v>0</v>
      </c>
      <c r="DF725" s="1389"/>
      <c r="DG725" s="1389"/>
      <c r="DH725" s="1389"/>
      <c r="DI725" s="1389"/>
      <c r="DJ725" s="1389">
        <f t="shared" si="22"/>
        <v>0</v>
      </c>
      <c r="DK725" s="1389"/>
      <c r="DL725" s="1389"/>
      <c r="DM725" s="1389"/>
      <c r="DN725" s="1389"/>
      <c r="DO725" s="1389">
        <f t="shared" si="23"/>
        <v>0</v>
      </c>
      <c r="DP725" s="1389"/>
      <c r="DQ725" s="1389"/>
      <c r="DR725" s="1389"/>
      <c r="DS725" s="1389"/>
      <c r="DT725" s="6"/>
      <c r="DU725" s="1394">
        <f t="shared" si="24"/>
        <v>0</v>
      </c>
      <c r="DV725" s="1394"/>
      <c r="DW725" s="1394"/>
      <c r="DX725" s="1394"/>
      <c r="DY725" s="1394"/>
      <c r="DZ725" s="1394">
        <f t="shared" si="25"/>
        <v>0</v>
      </c>
      <c r="EA725" s="1394"/>
      <c r="EB725" s="1394"/>
      <c r="EC725" s="1394"/>
      <c r="ED725" s="1394"/>
      <c r="EE725" s="1394">
        <f t="shared" si="26"/>
        <v>0</v>
      </c>
      <c r="EF725" s="1394"/>
      <c r="EG725" s="1394"/>
      <c r="EH725" s="1394"/>
      <c r="EI725" s="1394"/>
      <c r="EJ725" s="1394">
        <f t="shared" si="27"/>
        <v>0</v>
      </c>
      <c r="EK725" s="1394"/>
      <c r="EL725" s="1394"/>
      <c r="EM725" s="1394"/>
      <c r="EN725" s="1394"/>
      <c r="EO725" s="1394">
        <f t="shared" si="28"/>
        <v>0</v>
      </c>
      <c r="EP725" s="1394"/>
      <c r="EQ725" s="1394"/>
      <c r="ER725" s="1394"/>
      <c r="ES725" s="1394"/>
      <c r="ET725" s="1394">
        <f t="shared" si="29"/>
        <v>0</v>
      </c>
      <c r="EU725" s="1394"/>
      <c r="EV725" s="1394"/>
      <c r="EW725" s="1394"/>
      <c r="EX725" s="1394"/>
      <c r="EZ725" s="1355" t="str">
        <f t="shared" si="30"/>
        <v/>
      </c>
      <c r="FA725" s="1356"/>
      <c r="FB725" s="1356"/>
      <c r="FC725" s="1356"/>
      <c r="FD725" s="1357"/>
      <c r="FE725" s="1355" t="str">
        <f t="shared" si="31"/>
        <v/>
      </c>
      <c r="FF725" s="1356"/>
      <c r="FG725" s="1356"/>
      <c r="FH725" s="1356"/>
      <c r="FI725" s="1357"/>
      <c r="FJ725" s="1355">
        <f t="shared" si="32"/>
        <v>2978</v>
      </c>
      <c r="FK725" s="1356"/>
      <c r="FL725" s="1356"/>
      <c r="FM725" s="1356"/>
      <c r="FN725" s="1357"/>
      <c r="FO725" s="1355" t="str">
        <f t="shared" si="33"/>
        <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3" customHeight="1">
      <c r="B726" s="1390"/>
      <c r="C726" s="1391"/>
      <c r="D726" s="1391"/>
      <c r="E726" s="1391"/>
      <c r="F726" s="1392"/>
      <c r="G726" s="1427"/>
      <c r="H726" s="1428"/>
      <c r="I726" s="1428"/>
      <c r="J726" s="1429"/>
      <c r="K726" s="1342"/>
      <c r="L726" s="1343"/>
      <c r="M726" s="1343"/>
      <c r="N726" s="1344"/>
      <c r="O726" s="1333"/>
      <c r="P726" s="1334"/>
      <c r="Q726" s="1334"/>
      <c r="R726" s="1334"/>
      <c r="S726" s="1335"/>
      <c r="T726" s="1333"/>
      <c r="U726" s="1334"/>
      <c r="V726" s="1334"/>
      <c r="W726" s="1335"/>
      <c r="X726" s="1373">
        <f t="shared" si="8"/>
        <v>0</v>
      </c>
      <c r="Y726" s="1374"/>
      <c r="Z726" s="1374"/>
      <c r="AA726" s="1374"/>
      <c r="AB726" s="1375"/>
      <c r="AC726" s="1432"/>
      <c r="AD726" s="1433"/>
      <c r="AE726" s="1433"/>
      <c r="AF726" s="1433"/>
      <c r="AG726" s="1434"/>
      <c r="AH726" s="1435" t="str">
        <f t="shared" si="36"/>
        <v/>
      </c>
      <c r="AI726" s="1436"/>
      <c r="AJ726" s="1437"/>
      <c r="AK726" s="1390" t="s">
        <v>591</v>
      </c>
      <c r="AL726" s="1391"/>
      <c r="AM726" s="1391"/>
      <c r="AN726" s="1391"/>
      <c r="AO726" s="1392"/>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5">
        <f t="shared" si="37"/>
        <v>0</v>
      </c>
      <c r="CH726" s="1357"/>
      <c r="CI726" s="1345">
        <f t="shared" si="38"/>
        <v>0</v>
      </c>
      <c r="CJ726" s="1347"/>
      <c r="CK726" s="1355">
        <f t="shared" si="16"/>
        <v>0</v>
      </c>
      <c r="CL726" s="1357"/>
      <c r="CM726" s="1345">
        <f t="shared" si="17"/>
        <v>0</v>
      </c>
      <c r="CN726" s="1347"/>
      <c r="CO726" s="3"/>
      <c r="CP726" s="1339">
        <f t="shared" si="18"/>
        <v>0</v>
      </c>
      <c r="CQ726" s="1340"/>
      <c r="CR726" s="1340"/>
      <c r="CS726" s="1340"/>
      <c r="CT726" s="1341"/>
      <c r="CU726" s="1389">
        <f t="shared" si="19"/>
        <v>0</v>
      </c>
      <c r="CV726" s="1389"/>
      <c r="CW726" s="1389"/>
      <c r="CX726" s="1389"/>
      <c r="CY726" s="1389"/>
      <c r="CZ726" s="1389">
        <f t="shared" si="20"/>
        <v>0</v>
      </c>
      <c r="DA726" s="1389"/>
      <c r="DB726" s="1389"/>
      <c r="DC726" s="1389"/>
      <c r="DD726" s="1389"/>
      <c r="DE726" s="1389">
        <f t="shared" si="21"/>
        <v>0</v>
      </c>
      <c r="DF726" s="1389"/>
      <c r="DG726" s="1389"/>
      <c r="DH726" s="1389"/>
      <c r="DI726" s="1389"/>
      <c r="DJ726" s="1389">
        <f t="shared" si="22"/>
        <v>0</v>
      </c>
      <c r="DK726" s="1389"/>
      <c r="DL726" s="1389"/>
      <c r="DM726" s="1389"/>
      <c r="DN726" s="1389"/>
      <c r="DO726" s="1389">
        <f t="shared" si="23"/>
        <v>0</v>
      </c>
      <c r="DP726" s="1389"/>
      <c r="DQ726" s="1389"/>
      <c r="DR726" s="1389"/>
      <c r="DS726" s="1389"/>
      <c r="DT726" s="6"/>
      <c r="DU726" s="1394">
        <f t="shared" si="24"/>
        <v>0</v>
      </c>
      <c r="DV726" s="1394"/>
      <c r="DW726" s="1394"/>
      <c r="DX726" s="1394"/>
      <c r="DY726" s="1394"/>
      <c r="DZ726" s="1394">
        <f t="shared" si="25"/>
        <v>0</v>
      </c>
      <c r="EA726" s="1394"/>
      <c r="EB726" s="1394"/>
      <c r="EC726" s="1394"/>
      <c r="ED726" s="1394"/>
      <c r="EE726" s="1394">
        <f t="shared" si="26"/>
        <v>0</v>
      </c>
      <c r="EF726" s="1394"/>
      <c r="EG726" s="1394"/>
      <c r="EH726" s="1394"/>
      <c r="EI726" s="1394"/>
      <c r="EJ726" s="1394">
        <f t="shared" si="27"/>
        <v>0</v>
      </c>
      <c r="EK726" s="1394"/>
      <c r="EL726" s="1394"/>
      <c r="EM726" s="1394"/>
      <c r="EN726" s="1394"/>
      <c r="EO726" s="1394">
        <f t="shared" si="28"/>
        <v>0</v>
      </c>
      <c r="EP726" s="1394"/>
      <c r="EQ726" s="1394"/>
      <c r="ER726" s="1394"/>
      <c r="ES726" s="1394"/>
      <c r="ET726" s="1394">
        <f t="shared" si="29"/>
        <v>0</v>
      </c>
      <c r="EU726" s="1394"/>
      <c r="EV726" s="1394"/>
      <c r="EW726" s="1394"/>
      <c r="EX726" s="1394"/>
      <c r="EY726" s="4"/>
      <c r="EZ726" s="1355" t="str">
        <f t="shared" si="30"/>
        <v/>
      </c>
      <c r="FA726" s="1356"/>
      <c r="FB726" s="1356"/>
      <c r="FC726" s="1356"/>
      <c r="FD726" s="1357"/>
      <c r="FE726" s="1355" t="str">
        <f t="shared" si="31"/>
        <v/>
      </c>
      <c r="FF726" s="1356"/>
      <c r="FG726" s="1356"/>
      <c r="FH726" s="1356"/>
      <c r="FI726" s="1357"/>
      <c r="FJ726" s="1355" t="str">
        <f t="shared" si="32"/>
        <v/>
      </c>
      <c r="FK726" s="1356"/>
      <c r="FL726" s="1356"/>
      <c r="FM726" s="1356"/>
      <c r="FN726" s="1357"/>
      <c r="FO726" s="1355" t="str">
        <f t="shared" si="33"/>
        <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3" customHeight="1">
      <c r="A727" s="4"/>
      <c r="B727" s="1390"/>
      <c r="C727" s="1391"/>
      <c r="D727" s="1391"/>
      <c r="E727" s="1391"/>
      <c r="F727" s="1392"/>
      <c r="G727" s="1427"/>
      <c r="H727" s="1428"/>
      <c r="I727" s="1428"/>
      <c r="J727" s="1429"/>
      <c r="K727" s="1342"/>
      <c r="L727" s="1343"/>
      <c r="M727" s="1343"/>
      <c r="N727" s="1344"/>
      <c r="O727" s="1333"/>
      <c r="P727" s="1334"/>
      <c r="Q727" s="1334"/>
      <c r="R727" s="1334"/>
      <c r="S727" s="1335"/>
      <c r="T727" s="1333"/>
      <c r="U727" s="1334"/>
      <c r="V727" s="1334"/>
      <c r="W727" s="1335"/>
      <c r="X727" s="1373">
        <f t="shared" si="8"/>
        <v>0</v>
      </c>
      <c r="Y727" s="1374"/>
      <c r="Z727" s="1374"/>
      <c r="AA727" s="1374"/>
      <c r="AB727" s="1375"/>
      <c r="AC727" s="1432"/>
      <c r="AD727" s="1433"/>
      <c r="AE727" s="1433"/>
      <c r="AF727" s="1433"/>
      <c r="AG727" s="1434"/>
      <c r="AH727" s="1435" t="str">
        <f t="shared" si="36"/>
        <v/>
      </c>
      <c r="AI727" s="1436"/>
      <c r="AJ727" s="1437"/>
      <c r="AK727" s="1390" t="s">
        <v>591</v>
      </c>
      <c r="AL727" s="1391"/>
      <c r="AM727" s="1391"/>
      <c r="AN727" s="1391"/>
      <c r="AO727" s="1392"/>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5">
        <f t="shared" si="37"/>
        <v>0</v>
      </c>
      <c r="CH727" s="1357"/>
      <c r="CI727" s="1345">
        <f t="shared" si="38"/>
        <v>0</v>
      </c>
      <c r="CJ727" s="1347"/>
      <c r="CK727" s="1355">
        <f t="shared" si="16"/>
        <v>0</v>
      </c>
      <c r="CL727" s="1357"/>
      <c r="CM727" s="1345">
        <f t="shared" si="17"/>
        <v>0</v>
      </c>
      <c r="CN727" s="1347"/>
      <c r="CO727" s="3"/>
      <c r="CP727" s="1339">
        <f t="shared" si="18"/>
        <v>0</v>
      </c>
      <c r="CQ727" s="1340"/>
      <c r="CR727" s="1340"/>
      <c r="CS727" s="1340"/>
      <c r="CT727" s="1341"/>
      <c r="CU727" s="1389">
        <f t="shared" si="19"/>
        <v>0</v>
      </c>
      <c r="CV727" s="1389"/>
      <c r="CW727" s="1389"/>
      <c r="CX727" s="1389"/>
      <c r="CY727" s="1389"/>
      <c r="CZ727" s="1389">
        <f t="shared" si="20"/>
        <v>0</v>
      </c>
      <c r="DA727" s="1389"/>
      <c r="DB727" s="1389"/>
      <c r="DC727" s="1389"/>
      <c r="DD727" s="1389"/>
      <c r="DE727" s="1389">
        <f t="shared" si="21"/>
        <v>0</v>
      </c>
      <c r="DF727" s="1389"/>
      <c r="DG727" s="1389"/>
      <c r="DH727" s="1389"/>
      <c r="DI727" s="1389"/>
      <c r="DJ727" s="1389">
        <f t="shared" si="22"/>
        <v>0</v>
      </c>
      <c r="DK727" s="1389"/>
      <c r="DL727" s="1389"/>
      <c r="DM727" s="1389"/>
      <c r="DN727" s="1389"/>
      <c r="DO727" s="1389">
        <f t="shared" si="23"/>
        <v>0</v>
      </c>
      <c r="DP727" s="1389"/>
      <c r="DQ727" s="1389"/>
      <c r="DR727" s="1389"/>
      <c r="DS727" s="1389"/>
      <c r="DT727" s="6"/>
      <c r="DU727" s="1394">
        <f t="shared" si="24"/>
        <v>0</v>
      </c>
      <c r="DV727" s="1394"/>
      <c r="DW727" s="1394"/>
      <c r="DX727" s="1394"/>
      <c r="DY727" s="1394"/>
      <c r="DZ727" s="1394">
        <f t="shared" si="25"/>
        <v>0</v>
      </c>
      <c r="EA727" s="1394"/>
      <c r="EB727" s="1394"/>
      <c r="EC727" s="1394"/>
      <c r="ED727" s="1394"/>
      <c r="EE727" s="1394">
        <f t="shared" si="26"/>
        <v>0</v>
      </c>
      <c r="EF727" s="1394"/>
      <c r="EG727" s="1394"/>
      <c r="EH727" s="1394"/>
      <c r="EI727" s="1394"/>
      <c r="EJ727" s="1394">
        <f t="shared" si="27"/>
        <v>0</v>
      </c>
      <c r="EK727" s="1394"/>
      <c r="EL727" s="1394"/>
      <c r="EM727" s="1394"/>
      <c r="EN727" s="1394"/>
      <c r="EO727" s="1394">
        <f t="shared" si="28"/>
        <v>0</v>
      </c>
      <c r="EP727" s="1394"/>
      <c r="EQ727" s="1394"/>
      <c r="ER727" s="1394"/>
      <c r="ES727" s="1394"/>
      <c r="ET727" s="1394">
        <f t="shared" si="29"/>
        <v>0</v>
      </c>
      <c r="EU727" s="1394"/>
      <c r="EV727" s="1394"/>
      <c r="EW727" s="1394"/>
      <c r="EX727" s="1394"/>
      <c r="EY727" s="4"/>
      <c r="EZ727" s="1355" t="str">
        <f t="shared" si="30"/>
        <v/>
      </c>
      <c r="FA727" s="1356"/>
      <c r="FB727" s="1356"/>
      <c r="FC727" s="1356"/>
      <c r="FD727" s="1357"/>
      <c r="FE727" s="1355" t="str">
        <f t="shared" si="31"/>
        <v/>
      </c>
      <c r="FF727" s="1356"/>
      <c r="FG727" s="1356"/>
      <c r="FH727" s="1356"/>
      <c r="FI727" s="1357"/>
      <c r="FJ727" s="1355" t="str">
        <f t="shared" si="32"/>
        <v/>
      </c>
      <c r="FK727" s="1356"/>
      <c r="FL727" s="1356"/>
      <c r="FM727" s="1356"/>
      <c r="FN727" s="1357"/>
      <c r="FO727" s="1355" t="str">
        <f t="shared" si="33"/>
        <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3" customHeight="1">
      <c r="A728" s="4"/>
      <c r="B728" s="1390"/>
      <c r="C728" s="1391"/>
      <c r="D728" s="1391"/>
      <c r="E728" s="1391"/>
      <c r="F728" s="1392"/>
      <c r="G728" s="1427"/>
      <c r="H728" s="1428"/>
      <c r="I728" s="1428"/>
      <c r="J728" s="1429"/>
      <c r="K728" s="1342"/>
      <c r="L728" s="1343"/>
      <c r="M728" s="1343"/>
      <c r="N728" s="1344"/>
      <c r="O728" s="1333"/>
      <c r="P728" s="1334"/>
      <c r="Q728" s="1334"/>
      <c r="R728" s="1334"/>
      <c r="S728" s="1335"/>
      <c r="T728" s="1333"/>
      <c r="U728" s="1334"/>
      <c r="V728" s="1334"/>
      <c r="W728" s="1335"/>
      <c r="X728" s="1373">
        <f t="shared" si="8"/>
        <v>0</v>
      </c>
      <c r="Y728" s="1374"/>
      <c r="Z728" s="1374"/>
      <c r="AA728" s="1374"/>
      <c r="AB728" s="1375"/>
      <c r="AC728" s="1432"/>
      <c r="AD728" s="1433"/>
      <c r="AE728" s="1433"/>
      <c r="AF728" s="1433"/>
      <c r="AG728" s="1434"/>
      <c r="AH728" s="1435" t="str">
        <f t="shared" si="36"/>
        <v/>
      </c>
      <c r="AI728" s="1436"/>
      <c r="AJ728" s="1437"/>
      <c r="AK728" s="1390" t="s">
        <v>591</v>
      </c>
      <c r="AL728" s="1391"/>
      <c r="AM728" s="1391"/>
      <c r="AN728" s="1391"/>
      <c r="AO728" s="1392"/>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5">
        <f t="shared" si="37"/>
        <v>0</v>
      </c>
      <c r="CH728" s="1357"/>
      <c r="CI728" s="1345">
        <f t="shared" si="38"/>
        <v>0</v>
      </c>
      <c r="CJ728" s="1347"/>
      <c r="CK728" s="1355">
        <f t="shared" si="16"/>
        <v>0</v>
      </c>
      <c r="CL728" s="1357"/>
      <c r="CM728" s="1345">
        <f t="shared" si="17"/>
        <v>0</v>
      </c>
      <c r="CN728" s="1347"/>
      <c r="CO728" s="3"/>
      <c r="CP728" s="1339">
        <f t="shared" si="18"/>
        <v>0</v>
      </c>
      <c r="CQ728" s="1340"/>
      <c r="CR728" s="1340"/>
      <c r="CS728" s="1340"/>
      <c r="CT728" s="1341"/>
      <c r="CU728" s="1389">
        <f t="shared" si="19"/>
        <v>0</v>
      </c>
      <c r="CV728" s="1389"/>
      <c r="CW728" s="1389"/>
      <c r="CX728" s="1389"/>
      <c r="CY728" s="1389"/>
      <c r="CZ728" s="1389">
        <f t="shared" si="20"/>
        <v>0</v>
      </c>
      <c r="DA728" s="1389"/>
      <c r="DB728" s="1389"/>
      <c r="DC728" s="1389"/>
      <c r="DD728" s="1389"/>
      <c r="DE728" s="1389">
        <f t="shared" si="21"/>
        <v>0</v>
      </c>
      <c r="DF728" s="1389"/>
      <c r="DG728" s="1389"/>
      <c r="DH728" s="1389"/>
      <c r="DI728" s="1389"/>
      <c r="DJ728" s="1389">
        <f t="shared" si="22"/>
        <v>0</v>
      </c>
      <c r="DK728" s="1389"/>
      <c r="DL728" s="1389"/>
      <c r="DM728" s="1389"/>
      <c r="DN728" s="1389"/>
      <c r="DO728" s="1389">
        <f t="shared" si="23"/>
        <v>0</v>
      </c>
      <c r="DP728" s="1389"/>
      <c r="DQ728" s="1389"/>
      <c r="DR728" s="1389"/>
      <c r="DS728" s="1389"/>
      <c r="DT728" s="6"/>
      <c r="DU728" s="1394">
        <f t="shared" si="24"/>
        <v>0</v>
      </c>
      <c r="DV728" s="1394"/>
      <c r="DW728" s="1394"/>
      <c r="DX728" s="1394"/>
      <c r="DY728" s="1394"/>
      <c r="DZ728" s="1394">
        <f t="shared" si="25"/>
        <v>0</v>
      </c>
      <c r="EA728" s="1394"/>
      <c r="EB728" s="1394"/>
      <c r="EC728" s="1394"/>
      <c r="ED728" s="1394"/>
      <c r="EE728" s="1394">
        <f t="shared" si="26"/>
        <v>0</v>
      </c>
      <c r="EF728" s="1394"/>
      <c r="EG728" s="1394"/>
      <c r="EH728" s="1394"/>
      <c r="EI728" s="1394"/>
      <c r="EJ728" s="1394">
        <f t="shared" si="27"/>
        <v>0</v>
      </c>
      <c r="EK728" s="1394"/>
      <c r="EL728" s="1394"/>
      <c r="EM728" s="1394"/>
      <c r="EN728" s="1394"/>
      <c r="EO728" s="1394">
        <f t="shared" si="28"/>
        <v>0</v>
      </c>
      <c r="EP728" s="1394"/>
      <c r="EQ728" s="1394"/>
      <c r="ER728" s="1394"/>
      <c r="ES728" s="1394"/>
      <c r="ET728" s="1394">
        <f t="shared" si="29"/>
        <v>0</v>
      </c>
      <c r="EU728" s="1394"/>
      <c r="EV728" s="1394"/>
      <c r="EW728" s="1394"/>
      <c r="EX728" s="1394"/>
      <c r="EY728" s="4"/>
      <c r="EZ728" s="1355" t="str">
        <f t="shared" si="30"/>
        <v/>
      </c>
      <c r="FA728" s="1356"/>
      <c r="FB728" s="1356"/>
      <c r="FC728" s="1356"/>
      <c r="FD728" s="1357"/>
      <c r="FE728" s="1355" t="str">
        <f t="shared" si="31"/>
        <v/>
      </c>
      <c r="FF728" s="1356"/>
      <c r="FG728" s="1356"/>
      <c r="FH728" s="1356"/>
      <c r="FI728" s="1357"/>
      <c r="FJ728" s="1355" t="str">
        <f t="shared" si="32"/>
        <v/>
      </c>
      <c r="FK728" s="1356"/>
      <c r="FL728" s="1356"/>
      <c r="FM728" s="1356"/>
      <c r="FN728" s="1357"/>
      <c r="FO728" s="1355" t="str">
        <f t="shared" si="33"/>
        <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3" customHeight="1">
      <c r="A729" s="4"/>
      <c r="B729" s="1390"/>
      <c r="C729" s="1391"/>
      <c r="D729" s="1391"/>
      <c r="E729" s="1391"/>
      <c r="F729" s="1392"/>
      <c r="G729" s="1427"/>
      <c r="H729" s="1428"/>
      <c r="I729" s="1428"/>
      <c r="J729" s="1429"/>
      <c r="K729" s="1342"/>
      <c r="L729" s="1343"/>
      <c r="M729" s="1343"/>
      <c r="N729" s="1344"/>
      <c r="O729" s="1333"/>
      <c r="P729" s="1334"/>
      <c r="Q729" s="1334"/>
      <c r="R729" s="1334"/>
      <c r="S729" s="1335"/>
      <c r="T729" s="1333"/>
      <c r="U729" s="1334"/>
      <c r="V729" s="1334"/>
      <c r="W729" s="1335"/>
      <c r="X729" s="1373">
        <f t="shared" si="8"/>
        <v>0</v>
      </c>
      <c r="Y729" s="1374"/>
      <c r="Z729" s="1374"/>
      <c r="AA729" s="1374"/>
      <c r="AB729" s="1375"/>
      <c r="AC729" s="1432"/>
      <c r="AD729" s="1433"/>
      <c r="AE729" s="1433"/>
      <c r="AF729" s="1433"/>
      <c r="AG729" s="1434"/>
      <c r="AH729" s="1435" t="str">
        <f t="shared" si="36"/>
        <v/>
      </c>
      <c r="AI729" s="1436"/>
      <c r="AJ729" s="1437"/>
      <c r="AK729" s="1390" t="s">
        <v>591</v>
      </c>
      <c r="AL729" s="1391"/>
      <c r="AM729" s="1391"/>
      <c r="AN729" s="1391"/>
      <c r="AO729" s="1392"/>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5">
        <f t="shared" si="37"/>
        <v>0</v>
      </c>
      <c r="CH729" s="1357"/>
      <c r="CI729" s="1345">
        <f t="shared" si="38"/>
        <v>0</v>
      </c>
      <c r="CJ729" s="1347"/>
      <c r="CK729" s="1355">
        <f t="shared" si="16"/>
        <v>0</v>
      </c>
      <c r="CL729" s="1357"/>
      <c r="CM729" s="1345">
        <f t="shared" si="17"/>
        <v>0</v>
      </c>
      <c r="CN729" s="1347"/>
      <c r="CO729" s="3"/>
      <c r="CP729" s="1339">
        <f t="shared" si="18"/>
        <v>0</v>
      </c>
      <c r="CQ729" s="1340"/>
      <c r="CR729" s="1340"/>
      <c r="CS729" s="1340"/>
      <c r="CT729" s="1341"/>
      <c r="CU729" s="1389">
        <f t="shared" si="19"/>
        <v>0</v>
      </c>
      <c r="CV729" s="1389"/>
      <c r="CW729" s="1389"/>
      <c r="CX729" s="1389"/>
      <c r="CY729" s="1389"/>
      <c r="CZ729" s="1389">
        <f t="shared" si="20"/>
        <v>0</v>
      </c>
      <c r="DA729" s="1389"/>
      <c r="DB729" s="1389"/>
      <c r="DC729" s="1389"/>
      <c r="DD729" s="1389"/>
      <c r="DE729" s="1389">
        <f t="shared" si="21"/>
        <v>0</v>
      </c>
      <c r="DF729" s="1389"/>
      <c r="DG729" s="1389"/>
      <c r="DH729" s="1389"/>
      <c r="DI729" s="1389"/>
      <c r="DJ729" s="1389">
        <f t="shared" si="22"/>
        <v>0</v>
      </c>
      <c r="DK729" s="1389"/>
      <c r="DL729" s="1389"/>
      <c r="DM729" s="1389"/>
      <c r="DN729" s="1389"/>
      <c r="DO729" s="1389">
        <f t="shared" si="23"/>
        <v>0</v>
      </c>
      <c r="DP729" s="1389"/>
      <c r="DQ729" s="1389"/>
      <c r="DR729" s="1389"/>
      <c r="DS729" s="1389"/>
      <c r="DT729" s="6"/>
      <c r="DU729" s="1394">
        <f t="shared" si="24"/>
        <v>0</v>
      </c>
      <c r="DV729" s="1394"/>
      <c r="DW729" s="1394"/>
      <c r="DX729" s="1394"/>
      <c r="DY729" s="1394"/>
      <c r="DZ729" s="1394">
        <f t="shared" si="25"/>
        <v>0</v>
      </c>
      <c r="EA729" s="1394"/>
      <c r="EB729" s="1394"/>
      <c r="EC729" s="1394"/>
      <c r="ED729" s="1394"/>
      <c r="EE729" s="1394">
        <f t="shared" si="26"/>
        <v>0</v>
      </c>
      <c r="EF729" s="1394"/>
      <c r="EG729" s="1394"/>
      <c r="EH729" s="1394"/>
      <c r="EI729" s="1394"/>
      <c r="EJ729" s="1394">
        <f t="shared" si="27"/>
        <v>0</v>
      </c>
      <c r="EK729" s="1394"/>
      <c r="EL729" s="1394"/>
      <c r="EM729" s="1394"/>
      <c r="EN729" s="1394"/>
      <c r="EO729" s="1394">
        <f t="shared" si="28"/>
        <v>0</v>
      </c>
      <c r="EP729" s="1394"/>
      <c r="EQ729" s="1394"/>
      <c r="ER729" s="1394"/>
      <c r="ES729" s="1394"/>
      <c r="ET729" s="1394">
        <f t="shared" si="29"/>
        <v>0</v>
      </c>
      <c r="EU729" s="1394"/>
      <c r="EV729" s="1394"/>
      <c r="EW729" s="1394"/>
      <c r="EX729" s="1394"/>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t="str">
        <f t="shared" si="33"/>
        <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3" customHeight="1">
      <c r="B730" s="1390"/>
      <c r="C730" s="1391"/>
      <c r="D730" s="1391"/>
      <c r="E730" s="1391"/>
      <c r="F730" s="1392"/>
      <c r="G730" s="1427"/>
      <c r="H730" s="1428"/>
      <c r="I730" s="1428"/>
      <c r="J730" s="1429"/>
      <c r="K730" s="1342"/>
      <c r="L730" s="1343"/>
      <c r="M730" s="1343"/>
      <c r="N730" s="1344"/>
      <c r="O730" s="1615"/>
      <c r="P730" s="1616"/>
      <c r="Q730" s="1616"/>
      <c r="R730" s="1616"/>
      <c r="S730" s="1617"/>
      <c r="T730" s="1615"/>
      <c r="U730" s="1616"/>
      <c r="V730" s="1616"/>
      <c r="W730" s="1617"/>
      <c r="X730" s="1373">
        <f t="shared" si="8"/>
        <v>0</v>
      </c>
      <c r="Y730" s="1374"/>
      <c r="Z730" s="1374"/>
      <c r="AA730" s="1374"/>
      <c r="AB730" s="1375"/>
      <c r="AC730" s="1432"/>
      <c r="AD730" s="1433"/>
      <c r="AE730" s="1433"/>
      <c r="AF730" s="1433"/>
      <c r="AG730" s="1434"/>
      <c r="AH730" s="1435" t="str">
        <f t="shared" si="36"/>
        <v/>
      </c>
      <c r="AI730" s="1436"/>
      <c r="AJ730" s="1437"/>
      <c r="AK730" s="1390" t="s">
        <v>591</v>
      </c>
      <c r="AL730" s="1391"/>
      <c r="AM730" s="1391"/>
      <c r="AN730" s="1391"/>
      <c r="AO730" s="1392"/>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5">
        <f t="shared" si="37"/>
        <v>0</v>
      </c>
      <c r="CH730" s="1357"/>
      <c r="CI730" s="1345">
        <f t="shared" si="38"/>
        <v>0</v>
      </c>
      <c r="CJ730" s="1347"/>
      <c r="CK730" s="1355">
        <f t="shared" si="16"/>
        <v>0</v>
      </c>
      <c r="CL730" s="1357"/>
      <c r="CM730" s="1345">
        <f t="shared" si="17"/>
        <v>0</v>
      </c>
      <c r="CN730" s="1347"/>
      <c r="CO730" s="3"/>
      <c r="CP730" s="1339">
        <f t="shared" si="18"/>
        <v>0</v>
      </c>
      <c r="CQ730" s="1340"/>
      <c r="CR730" s="1340"/>
      <c r="CS730" s="1340"/>
      <c r="CT730" s="1341"/>
      <c r="CU730" s="1389">
        <f t="shared" si="19"/>
        <v>0</v>
      </c>
      <c r="CV730" s="1389"/>
      <c r="CW730" s="1389"/>
      <c r="CX730" s="1389"/>
      <c r="CY730" s="1389"/>
      <c r="CZ730" s="1389">
        <f t="shared" si="20"/>
        <v>0</v>
      </c>
      <c r="DA730" s="1389"/>
      <c r="DB730" s="1389"/>
      <c r="DC730" s="1389"/>
      <c r="DD730" s="1389"/>
      <c r="DE730" s="1389">
        <f t="shared" si="21"/>
        <v>0</v>
      </c>
      <c r="DF730" s="1389"/>
      <c r="DG730" s="1389"/>
      <c r="DH730" s="1389"/>
      <c r="DI730" s="1389"/>
      <c r="DJ730" s="1389">
        <f t="shared" si="22"/>
        <v>0</v>
      </c>
      <c r="DK730" s="1389"/>
      <c r="DL730" s="1389"/>
      <c r="DM730" s="1389"/>
      <c r="DN730" s="1389"/>
      <c r="DO730" s="1389">
        <f t="shared" si="23"/>
        <v>0</v>
      </c>
      <c r="DP730" s="1389"/>
      <c r="DQ730" s="1389"/>
      <c r="DR730" s="1389"/>
      <c r="DS730" s="1389"/>
      <c r="DT730" s="6"/>
      <c r="DU730" s="1394">
        <f t="shared" si="24"/>
        <v>0</v>
      </c>
      <c r="DV730" s="1394"/>
      <c r="DW730" s="1394"/>
      <c r="DX730" s="1394"/>
      <c r="DY730" s="1394"/>
      <c r="DZ730" s="1394">
        <f t="shared" si="25"/>
        <v>0</v>
      </c>
      <c r="EA730" s="1394"/>
      <c r="EB730" s="1394"/>
      <c r="EC730" s="1394"/>
      <c r="ED730" s="1394"/>
      <c r="EE730" s="1394">
        <f t="shared" si="26"/>
        <v>0</v>
      </c>
      <c r="EF730" s="1394"/>
      <c r="EG730" s="1394"/>
      <c r="EH730" s="1394"/>
      <c r="EI730" s="1394"/>
      <c r="EJ730" s="1394">
        <f t="shared" si="27"/>
        <v>0</v>
      </c>
      <c r="EK730" s="1394"/>
      <c r="EL730" s="1394"/>
      <c r="EM730" s="1394"/>
      <c r="EN730" s="1394"/>
      <c r="EO730" s="1394">
        <f t="shared" si="28"/>
        <v>0</v>
      </c>
      <c r="EP730" s="1394"/>
      <c r="EQ730" s="1394"/>
      <c r="ER730" s="1394"/>
      <c r="ES730" s="1394"/>
      <c r="ET730" s="1394">
        <f t="shared" si="29"/>
        <v>0</v>
      </c>
      <c r="EU730" s="1394"/>
      <c r="EV730" s="1394"/>
      <c r="EW730" s="1394"/>
      <c r="EX730" s="1394"/>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t="str">
        <f t="shared" si="33"/>
        <v/>
      </c>
      <c r="FP730" s="1356"/>
      <c r="FQ730" s="1356"/>
      <c r="FR730" s="1356"/>
      <c r="FS730" s="1357"/>
      <c r="FT730" s="1355" t="str">
        <f t="shared" si="34"/>
        <v/>
      </c>
      <c r="FU730" s="1356"/>
      <c r="FV730" s="1356"/>
      <c r="FW730" s="1356"/>
      <c r="FX730" s="1357"/>
      <c r="FY730" s="1355" t="str">
        <f t="shared" si="35"/>
        <v/>
      </c>
      <c r="FZ730" s="1356"/>
      <c r="GA730" s="1356"/>
      <c r="GB730" s="1356"/>
      <c r="GC730" s="1357"/>
    </row>
    <row r="731" spans="1:185" ht="13" customHeight="1">
      <c r="B731" s="1390"/>
      <c r="C731" s="1391"/>
      <c r="D731" s="1391"/>
      <c r="E731" s="1391"/>
      <c r="F731" s="1392"/>
      <c r="G731" s="1427"/>
      <c r="H731" s="1428"/>
      <c r="I731" s="1428"/>
      <c r="J731" s="1429"/>
      <c r="K731" s="1342"/>
      <c r="L731" s="1343"/>
      <c r="M731" s="1343"/>
      <c r="N731" s="1344"/>
      <c r="O731" s="1615"/>
      <c r="P731" s="1616"/>
      <c r="Q731" s="1616"/>
      <c r="R731" s="1616"/>
      <c r="S731" s="1617"/>
      <c r="T731" s="1615"/>
      <c r="U731" s="1616"/>
      <c r="V731" s="1616"/>
      <c r="W731" s="1617"/>
      <c r="X731" s="1373">
        <f t="shared" si="8"/>
        <v>0</v>
      </c>
      <c r="Y731" s="1374"/>
      <c r="Z731" s="1374"/>
      <c r="AA731" s="1374"/>
      <c r="AB731" s="1375"/>
      <c r="AC731" s="1432"/>
      <c r="AD731" s="1433"/>
      <c r="AE731" s="1433"/>
      <c r="AF731" s="1433"/>
      <c r="AG731" s="1434"/>
      <c r="AH731" s="1435" t="str">
        <f t="shared" si="36"/>
        <v/>
      </c>
      <c r="AI731" s="1436"/>
      <c r="AJ731" s="1437"/>
      <c r="AK731" s="1390" t="s">
        <v>591</v>
      </c>
      <c r="AL731" s="1391"/>
      <c r="AM731" s="1391"/>
      <c r="AN731" s="1391"/>
      <c r="AO731" s="1392"/>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5">
        <f t="shared" si="37"/>
        <v>0</v>
      </c>
      <c r="CH731" s="1357"/>
      <c r="CI731" s="1345">
        <f t="shared" si="38"/>
        <v>0</v>
      </c>
      <c r="CJ731" s="1347"/>
      <c r="CK731" s="1355">
        <f t="shared" si="16"/>
        <v>0</v>
      </c>
      <c r="CL731" s="1357"/>
      <c r="CM731" s="1345">
        <f t="shared" si="17"/>
        <v>0</v>
      </c>
      <c r="CN731" s="1347"/>
      <c r="CO731" s="3"/>
      <c r="CP731" s="1339">
        <f t="shared" si="18"/>
        <v>0</v>
      </c>
      <c r="CQ731" s="1340"/>
      <c r="CR731" s="1340"/>
      <c r="CS731" s="1340"/>
      <c r="CT731" s="1341"/>
      <c r="CU731" s="1389">
        <f t="shared" si="19"/>
        <v>0</v>
      </c>
      <c r="CV731" s="1389"/>
      <c r="CW731" s="1389"/>
      <c r="CX731" s="1389"/>
      <c r="CY731" s="1389"/>
      <c r="CZ731" s="1389">
        <f t="shared" si="20"/>
        <v>0</v>
      </c>
      <c r="DA731" s="1389"/>
      <c r="DB731" s="1389"/>
      <c r="DC731" s="1389"/>
      <c r="DD731" s="1389"/>
      <c r="DE731" s="1389">
        <f t="shared" si="21"/>
        <v>0</v>
      </c>
      <c r="DF731" s="1389"/>
      <c r="DG731" s="1389"/>
      <c r="DH731" s="1389"/>
      <c r="DI731" s="1389"/>
      <c r="DJ731" s="1389">
        <f t="shared" si="22"/>
        <v>0</v>
      </c>
      <c r="DK731" s="1389"/>
      <c r="DL731" s="1389"/>
      <c r="DM731" s="1389"/>
      <c r="DN731" s="1389"/>
      <c r="DO731" s="1389">
        <f t="shared" si="23"/>
        <v>0</v>
      </c>
      <c r="DP731" s="1389"/>
      <c r="DQ731" s="1389"/>
      <c r="DR731" s="1389"/>
      <c r="DS731" s="1389"/>
      <c r="DT731" s="6"/>
      <c r="DU731" s="1394">
        <f t="shared" si="24"/>
        <v>0</v>
      </c>
      <c r="DV731" s="1394"/>
      <c r="DW731" s="1394"/>
      <c r="DX731" s="1394"/>
      <c r="DY731" s="1394"/>
      <c r="DZ731" s="1394">
        <f t="shared" si="25"/>
        <v>0</v>
      </c>
      <c r="EA731" s="1394"/>
      <c r="EB731" s="1394"/>
      <c r="EC731" s="1394"/>
      <c r="ED731" s="1394"/>
      <c r="EE731" s="1394">
        <f t="shared" si="26"/>
        <v>0</v>
      </c>
      <c r="EF731" s="1394"/>
      <c r="EG731" s="1394"/>
      <c r="EH731" s="1394"/>
      <c r="EI731" s="1394"/>
      <c r="EJ731" s="1394">
        <f t="shared" si="27"/>
        <v>0</v>
      </c>
      <c r="EK731" s="1394"/>
      <c r="EL731" s="1394"/>
      <c r="EM731" s="1394"/>
      <c r="EN731" s="1394"/>
      <c r="EO731" s="1394">
        <f t="shared" si="28"/>
        <v>0</v>
      </c>
      <c r="EP731" s="1394"/>
      <c r="EQ731" s="1394"/>
      <c r="ER731" s="1394"/>
      <c r="ES731" s="1394"/>
      <c r="ET731" s="1394">
        <f t="shared" si="29"/>
        <v>0</v>
      </c>
      <c r="EU731" s="1394"/>
      <c r="EV731" s="1394"/>
      <c r="EW731" s="1394"/>
      <c r="EX731" s="1394"/>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t="str">
        <f t="shared" si="33"/>
        <v/>
      </c>
      <c r="FP731" s="1356"/>
      <c r="FQ731" s="1356"/>
      <c r="FR731" s="1356"/>
      <c r="FS731" s="1357"/>
      <c r="FT731" s="1355" t="str">
        <f t="shared" si="34"/>
        <v/>
      </c>
      <c r="FU731" s="1356"/>
      <c r="FV731" s="1356"/>
      <c r="FW731" s="1356"/>
      <c r="FX731" s="1357"/>
      <c r="FY731" s="1355" t="str">
        <f t="shared" si="35"/>
        <v/>
      </c>
      <c r="FZ731" s="1356"/>
      <c r="GA731" s="1356"/>
      <c r="GB731" s="1356"/>
      <c r="GC731" s="1357"/>
    </row>
    <row r="732" spans="1:185" ht="13" customHeight="1">
      <c r="B732" s="1390"/>
      <c r="C732" s="1391"/>
      <c r="D732" s="1391"/>
      <c r="E732" s="1391"/>
      <c r="F732" s="1392"/>
      <c r="G732" s="1427"/>
      <c r="H732" s="1428"/>
      <c r="I732" s="1428"/>
      <c r="J732" s="1429"/>
      <c r="K732" s="1342"/>
      <c r="L732" s="1343"/>
      <c r="M732" s="1343"/>
      <c r="N732" s="1344"/>
      <c r="O732" s="1615"/>
      <c r="P732" s="1616"/>
      <c r="Q732" s="1616"/>
      <c r="R732" s="1616"/>
      <c r="S732" s="1617"/>
      <c r="T732" s="1615"/>
      <c r="U732" s="1616"/>
      <c r="V732" s="1616"/>
      <c r="W732" s="1617"/>
      <c r="X732" s="1373">
        <f t="shared" si="8"/>
        <v>0</v>
      </c>
      <c r="Y732" s="1374"/>
      <c r="Z732" s="1374"/>
      <c r="AA732" s="1374"/>
      <c r="AB732" s="1375"/>
      <c r="AC732" s="1432"/>
      <c r="AD732" s="1433"/>
      <c r="AE732" s="1433"/>
      <c r="AF732" s="1433"/>
      <c r="AG732" s="1434"/>
      <c r="AH732" s="1435" t="str">
        <f t="shared" si="36"/>
        <v/>
      </c>
      <c r="AI732" s="1436"/>
      <c r="AJ732" s="1437"/>
      <c r="AK732" s="1390" t="s">
        <v>591</v>
      </c>
      <c r="AL732" s="1391"/>
      <c r="AM732" s="1391"/>
      <c r="AN732" s="1391"/>
      <c r="AO732" s="1392"/>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5">
        <f t="shared" si="37"/>
        <v>0</v>
      </c>
      <c r="CH732" s="1357"/>
      <c r="CI732" s="1345">
        <f t="shared" si="38"/>
        <v>0</v>
      </c>
      <c r="CJ732" s="1347"/>
      <c r="CK732" s="1355">
        <f t="shared" si="16"/>
        <v>0</v>
      </c>
      <c r="CL732" s="1357"/>
      <c r="CM732" s="1345">
        <f t="shared" si="17"/>
        <v>0</v>
      </c>
      <c r="CN732" s="1347"/>
      <c r="CO732" s="3"/>
      <c r="CP732" s="1339">
        <f t="shared" si="18"/>
        <v>0</v>
      </c>
      <c r="CQ732" s="1340"/>
      <c r="CR732" s="1340"/>
      <c r="CS732" s="1340"/>
      <c r="CT732" s="1341"/>
      <c r="CU732" s="1389">
        <f t="shared" si="19"/>
        <v>0</v>
      </c>
      <c r="CV732" s="1389"/>
      <c r="CW732" s="1389"/>
      <c r="CX732" s="1389"/>
      <c r="CY732" s="1389"/>
      <c r="CZ732" s="1389">
        <f t="shared" si="20"/>
        <v>0</v>
      </c>
      <c r="DA732" s="1389"/>
      <c r="DB732" s="1389"/>
      <c r="DC732" s="1389"/>
      <c r="DD732" s="1389"/>
      <c r="DE732" s="1389">
        <f t="shared" si="21"/>
        <v>0</v>
      </c>
      <c r="DF732" s="1389"/>
      <c r="DG732" s="1389"/>
      <c r="DH732" s="1389"/>
      <c r="DI732" s="1389"/>
      <c r="DJ732" s="1389">
        <f t="shared" si="22"/>
        <v>0</v>
      </c>
      <c r="DK732" s="1389"/>
      <c r="DL732" s="1389"/>
      <c r="DM732" s="1389"/>
      <c r="DN732" s="1389"/>
      <c r="DO732" s="1389">
        <f t="shared" si="23"/>
        <v>0</v>
      </c>
      <c r="DP732" s="1389"/>
      <c r="DQ732" s="1389"/>
      <c r="DR732" s="1389"/>
      <c r="DS732" s="1389"/>
      <c r="DT732" s="6"/>
      <c r="DU732" s="1394">
        <f t="shared" si="24"/>
        <v>0</v>
      </c>
      <c r="DV732" s="1394"/>
      <c r="DW732" s="1394"/>
      <c r="DX732" s="1394"/>
      <c r="DY732" s="1394"/>
      <c r="DZ732" s="1394">
        <f t="shared" si="25"/>
        <v>0</v>
      </c>
      <c r="EA732" s="1394"/>
      <c r="EB732" s="1394"/>
      <c r="EC732" s="1394"/>
      <c r="ED732" s="1394"/>
      <c r="EE732" s="1394">
        <f t="shared" si="26"/>
        <v>0</v>
      </c>
      <c r="EF732" s="1394"/>
      <c r="EG732" s="1394"/>
      <c r="EH732" s="1394"/>
      <c r="EI732" s="1394"/>
      <c r="EJ732" s="1394">
        <f t="shared" si="27"/>
        <v>0</v>
      </c>
      <c r="EK732" s="1394"/>
      <c r="EL732" s="1394"/>
      <c r="EM732" s="1394"/>
      <c r="EN732" s="1394"/>
      <c r="EO732" s="1394">
        <f t="shared" si="28"/>
        <v>0</v>
      </c>
      <c r="EP732" s="1394"/>
      <c r="EQ732" s="1394"/>
      <c r="ER732" s="1394"/>
      <c r="ES732" s="1394"/>
      <c r="ET732" s="1394">
        <f t="shared" si="29"/>
        <v>0</v>
      </c>
      <c r="EU732" s="1394"/>
      <c r="EV732" s="1394"/>
      <c r="EW732" s="1394"/>
      <c r="EX732" s="1394"/>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3" customHeight="1">
      <c r="B733" s="1390"/>
      <c r="C733" s="1391"/>
      <c r="D733" s="1391"/>
      <c r="E733" s="1391"/>
      <c r="F733" s="1392"/>
      <c r="G733" s="1427"/>
      <c r="H733" s="1428"/>
      <c r="I733" s="1428"/>
      <c r="J733" s="1429"/>
      <c r="K733" s="1342"/>
      <c r="L733" s="1343"/>
      <c r="M733" s="1343"/>
      <c r="N733" s="1344"/>
      <c r="O733" s="1615"/>
      <c r="P733" s="1616"/>
      <c r="Q733" s="1616"/>
      <c r="R733" s="1616"/>
      <c r="S733" s="1617"/>
      <c r="T733" s="1615"/>
      <c r="U733" s="1616"/>
      <c r="V733" s="1616"/>
      <c r="W733" s="1617"/>
      <c r="X733" s="1373">
        <f t="shared" si="8"/>
        <v>0</v>
      </c>
      <c r="Y733" s="1374"/>
      <c r="Z733" s="1374"/>
      <c r="AA733" s="1374"/>
      <c r="AB733" s="1375"/>
      <c r="AC733" s="1432"/>
      <c r="AD733" s="1433"/>
      <c r="AE733" s="1433"/>
      <c r="AF733" s="1433"/>
      <c r="AG733" s="1434"/>
      <c r="AH733" s="1435" t="str">
        <f t="shared" si="36"/>
        <v/>
      </c>
      <c r="AI733" s="1436"/>
      <c r="AJ733" s="1437"/>
      <c r="AK733" s="1390" t="s">
        <v>591</v>
      </c>
      <c r="AL733" s="1391"/>
      <c r="AM733" s="1391"/>
      <c r="AN733" s="1391"/>
      <c r="AO733" s="1392"/>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5">
        <f t="shared" si="37"/>
        <v>0</v>
      </c>
      <c r="CH733" s="1357"/>
      <c r="CI733" s="1345">
        <f t="shared" si="38"/>
        <v>0</v>
      </c>
      <c r="CJ733" s="1347"/>
      <c r="CK733" s="1355">
        <f t="shared" si="16"/>
        <v>0</v>
      </c>
      <c r="CL733" s="1357"/>
      <c r="CM733" s="1345">
        <f t="shared" si="17"/>
        <v>0</v>
      </c>
      <c r="CN733" s="1347"/>
      <c r="CO733" s="3"/>
      <c r="CP733" s="1339">
        <f t="shared" si="18"/>
        <v>0</v>
      </c>
      <c r="CQ733" s="1340"/>
      <c r="CR733" s="1340"/>
      <c r="CS733" s="1340"/>
      <c r="CT733" s="1341"/>
      <c r="CU733" s="1389">
        <f t="shared" si="19"/>
        <v>0</v>
      </c>
      <c r="CV733" s="1389"/>
      <c r="CW733" s="1389"/>
      <c r="CX733" s="1389"/>
      <c r="CY733" s="1389"/>
      <c r="CZ733" s="1389">
        <f t="shared" si="20"/>
        <v>0</v>
      </c>
      <c r="DA733" s="1389"/>
      <c r="DB733" s="1389"/>
      <c r="DC733" s="1389"/>
      <c r="DD733" s="1389"/>
      <c r="DE733" s="1389">
        <f t="shared" si="21"/>
        <v>0</v>
      </c>
      <c r="DF733" s="1389"/>
      <c r="DG733" s="1389"/>
      <c r="DH733" s="1389"/>
      <c r="DI733" s="1389"/>
      <c r="DJ733" s="1389">
        <f t="shared" si="22"/>
        <v>0</v>
      </c>
      <c r="DK733" s="1389"/>
      <c r="DL733" s="1389"/>
      <c r="DM733" s="1389"/>
      <c r="DN733" s="1389"/>
      <c r="DO733" s="1389">
        <f t="shared" si="23"/>
        <v>0</v>
      </c>
      <c r="DP733" s="1389"/>
      <c r="DQ733" s="1389"/>
      <c r="DR733" s="1389"/>
      <c r="DS733" s="1389"/>
      <c r="DT733" s="6"/>
      <c r="DU733" s="1394">
        <f t="shared" si="24"/>
        <v>0</v>
      </c>
      <c r="DV733" s="1394"/>
      <c r="DW733" s="1394"/>
      <c r="DX733" s="1394"/>
      <c r="DY733" s="1394"/>
      <c r="DZ733" s="1394">
        <f t="shared" si="25"/>
        <v>0</v>
      </c>
      <c r="EA733" s="1394"/>
      <c r="EB733" s="1394"/>
      <c r="EC733" s="1394"/>
      <c r="ED733" s="1394"/>
      <c r="EE733" s="1394">
        <f t="shared" si="26"/>
        <v>0</v>
      </c>
      <c r="EF733" s="1394"/>
      <c r="EG733" s="1394"/>
      <c r="EH733" s="1394"/>
      <c r="EI733" s="1394"/>
      <c r="EJ733" s="1394">
        <f t="shared" si="27"/>
        <v>0</v>
      </c>
      <c r="EK733" s="1394"/>
      <c r="EL733" s="1394"/>
      <c r="EM733" s="1394"/>
      <c r="EN733" s="1394"/>
      <c r="EO733" s="1394">
        <f t="shared" si="28"/>
        <v>0</v>
      </c>
      <c r="EP733" s="1394"/>
      <c r="EQ733" s="1394"/>
      <c r="ER733" s="1394"/>
      <c r="ES733" s="1394"/>
      <c r="ET733" s="1394">
        <f t="shared" si="29"/>
        <v>0</v>
      </c>
      <c r="EU733" s="1394"/>
      <c r="EV733" s="1394"/>
      <c r="EW733" s="1394"/>
      <c r="EX733" s="1394"/>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3" customHeight="1">
      <c r="B734" s="1390"/>
      <c r="C734" s="1391"/>
      <c r="D734" s="1391"/>
      <c r="E734" s="1391"/>
      <c r="F734" s="1392"/>
      <c r="G734" s="1427"/>
      <c r="H734" s="1428"/>
      <c r="I734" s="1428"/>
      <c r="J734" s="1429"/>
      <c r="K734" s="1342"/>
      <c r="L734" s="1343"/>
      <c r="M734" s="1343"/>
      <c r="N734" s="1344"/>
      <c r="O734" s="1615"/>
      <c r="P734" s="1616"/>
      <c r="Q734" s="1616"/>
      <c r="R734" s="1616"/>
      <c r="S734" s="1617"/>
      <c r="T734" s="1615"/>
      <c r="U734" s="1616"/>
      <c r="V734" s="1616"/>
      <c r="W734" s="1617"/>
      <c r="X734" s="1373">
        <f t="shared" si="8"/>
        <v>0</v>
      </c>
      <c r="Y734" s="1374"/>
      <c r="Z734" s="1374"/>
      <c r="AA734" s="1374"/>
      <c r="AB734" s="1375"/>
      <c r="AC734" s="1432"/>
      <c r="AD734" s="1433"/>
      <c r="AE734" s="1433"/>
      <c r="AF734" s="1433"/>
      <c r="AG734" s="1434"/>
      <c r="AH734" s="1435" t="str">
        <f t="shared" si="36"/>
        <v/>
      </c>
      <c r="AI734" s="1436"/>
      <c r="AJ734" s="1437"/>
      <c r="AK734" s="1390" t="s">
        <v>591</v>
      </c>
      <c r="AL734" s="1391"/>
      <c r="AM734" s="1391"/>
      <c r="AN734" s="1391"/>
      <c r="AO734" s="1392"/>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5">
        <f t="shared" si="37"/>
        <v>0</v>
      </c>
      <c r="CH734" s="1357"/>
      <c r="CI734" s="1345">
        <f t="shared" si="38"/>
        <v>0</v>
      </c>
      <c r="CJ734" s="1347"/>
      <c r="CK734" s="1355">
        <f t="shared" si="16"/>
        <v>0</v>
      </c>
      <c r="CL734" s="1357"/>
      <c r="CM734" s="1345">
        <f t="shared" si="17"/>
        <v>0</v>
      </c>
      <c r="CN734" s="1347"/>
      <c r="CO734" s="3"/>
      <c r="CP734" s="1339">
        <f t="shared" si="18"/>
        <v>0</v>
      </c>
      <c r="CQ734" s="1340"/>
      <c r="CR734" s="1340"/>
      <c r="CS734" s="1340"/>
      <c r="CT734" s="1341"/>
      <c r="CU734" s="1389">
        <f t="shared" si="19"/>
        <v>0</v>
      </c>
      <c r="CV734" s="1389"/>
      <c r="CW734" s="1389"/>
      <c r="CX734" s="1389"/>
      <c r="CY734" s="1389"/>
      <c r="CZ734" s="1389">
        <f t="shared" si="20"/>
        <v>0</v>
      </c>
      <c r="DA734" s="1389"/>
      <c r="DB734" s="1389"/>
      <c r="DC734" s="1389"/>
      <c r="DD734" s="1389"/>
      <c r="DE734" s="1389">
        <f t="shared" si="21"/>
        <v>0</v>
      </c>
      <c r="DF734" s="1389"/>
      <c r="DG734" s="1389"/>
      <c r="DH734" s="1389"/>
      <c r="DI734" s="1389"/>
      <c r="DJ734" s="1389">
        <f t="shared" si="22"/>
        <v>0</v>
      </c>
      <c r="DK734" s="1389"/>
      <c r="DL734" s="1389"/>
      <c r="DM734" s="1389"/>
      <c r="DN734" s="1389"/>
      <c r="DO734" s="1389">
        <f t="shared" si="23"/>
        <v>0</v>
      </c>
      <c r="DP734" s="1389"/>
      <c r="DQ734" s="1389"/>
      <c r="DR734" s="1389"/>
      <c r="DS734" s="1389"/>
      <c r="DT734" s="6"/>
      <c r="DU734" s="1394">
        <f t="shared" si="24"/>
        <v>0</v>
      </c>
      <c r="DV734" s="1394"/>
      <c r="DW734" s="1394"/>
      <c r="DX734" s="1394"/>
      <c r="DY734" s="1394"/>
      <c r="DZ734" s="1394">
        <f t="shared" si="25"/>
        <v>0</v>
      </c>
      <c r="EA734" s="1394"/>
      <c r="EB734" s="1394"/>
      <c r="EC734" s="1394"/>
      <c r="ED734" s="1394"/>
      <c r="EE734" s="1394">
        <f t="shared" si="26"/>
        <v>0</v>
      </c>
      <c r="EF734" s="1394"/>
      <c r="EG734" s="1394"/>
      <c r="EH734" s="1394"/>
      <c r="EI734" s="1394"/>
      <c r="EJ734" s="1394">
        <f t="shared" si="27"/>
        <v>0</v>
      </c>
      <c r="EK734" s="1394"/>
      <c r="EL734" s="1394"/>
      <c r="EM734" s="1394"/>
      <c r="EN734" s="1394"/>
      <c r="EO734" s="1394">
        <f t="shared" si="28"/>
        <v>0</v>
      </c>
      <c r="EP734" s="1394"/>
      <c r="EQ734" s="1394"/>
      <c r="ER734" s="1394"/>
      <c r="ES734" s="1394"/>
      <c r="ET734" s="1394">
        <f t="shared" si="29"/>
        <v>0</v>
      </c>
      <c r="EU734" s="1394"/>
      <c r="EV734" s="1394"/>
      <c r="EW734" s="1394"/>
      <c r="EX734" s="1394"/>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3" customHeight="1">
      <c r="B735" s="1390"/>
      <c r="C735" s="1391"/>
      <c r="D735" s="1391"/>
      <c r="E735" s="1391"/>
      <c r="F735" s="1392"/>
      <c r="G735" s="1427"/>
      <c r="H735" s="1428"/>
      <c r="I735" s="1428"/>
      <c r="J735" s="1429"/>
      <c r="K735" s="1342"/>
      <c r="L735" s="1343"/>
      <c r="M735" s="1343"/>
      <c r="N735" s="1344"/>
      <c r="O735" s="1615"/>
      <c r="P735" s="1616"/>
      <c r="Q735" s="1616"/>
      <c r="R735" s="1616"/>
      <c r="S735" s="1617"/>
      <c r="T735" s="1615"/>
      <c r="U735" s="1616"/>
      <c r="V735" s="1616"/>
      <c r="W735" s="1617"/>
      <c r="X735" s="1373">
        <f t="shared" si="8"/>
        <v>0</v>
      </c>
      <c r="Y735" s="1374"/>
      <c r="Z735" s="1374"/>
      <c r="AA735" s="1374"/>
      <c r="AB735" s="1375"/>
      <c r="AC735" s="1432"/>
      <c r="AD735" s="1433"/>
      <c r="AE735" s="1433"/>
      <c r="AF735" s="1433"/>
      <c r="AG735" s="1434"/>
      <c r="AH735" s="1435" t="str">
        <f t="shared" si="36"/>
        <v/>
      </c>
      <c r="AI735" s="1436"/>
      <c r="AJ735" s="1437"/>
      <c r="AK735" s="1390" t="s">
        <v>591</v>
      </c>
      <c r="AL735" s="1391"/>
      <c r="AM735" s="1391"/>
      <c r="AN735" s="1391"/>
      <c r="AO735" s="1392"/>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5">
        <f t="shared" si="37"/>
        <v>0</v>
      </c>
      <c r="CH735" s="1357"/>
      <c r="CI735" s="1345">
        <f t="shared" si="38"/>
        <v>0</v>
      </c>
      <c r="CJ735" s="1347"/>
      <c r="CK735" s="1355">
        <f t="shared" si="16"/>
        <v>0</v>
      </c>
      <c r="CL735" s="1357"/>
      <c r="CM735" s="1345">
        <f t="shared" si="17"/>
        <v>0</v>
      </c>
      <c r="CN735" s="1347"/>
      <c r="CO735" s="3"/>
      <c r="CP735" s="1339">
        <f t="shared" si="18"/>
        <v>0</v>
      </c>
      <c r="CQ735" s="1340"/>
      <c r="CR735" s="1340"/>
      <c r="CS735" s="1340"/>
      <c r="CT735" s="1341"/>
      <c r="CU735" s="1389">
        <f t="shared" si="19"/>
        <v>0</v>
      </c>
      <c r="CV735" s="1389"/>
      <c r="CW735" s="1389"/>
      <c r="CX735" s="1389"/>
      <c r="CY735" s="1389"/>
      <c r="CZ735" s="1389">
        <f t="shared" si="20"/>
        <v>0</v>
      </c>
      <c r="DA735" s="1389"/>
      <c r="DB735" s="1389"/>
      <c r="DC735" s="1389"/>
      <c r="DD735" s="1389"/>
      <c r="DE735" s="1389">
        <f t="shared" si="21"/>
        <v>0</v>
      </c>
      <c r="DF735" s="1389"/>
      <c r="DG735" s="1389"/>
      <c r="DH735" s="1389"/>
      <c r="DI735" s="1389"/>
      <c r="DJ735" s="1389">
        <f t="shared" si="22"/>
        <v>0</v>
      </c>
      <c r="DK735" s="1389"/>
      <c r="DL735" s="1389"/>
      <c r="DM735" s="1389"/>
      <c r="DN735" s="1389"/>
      <c r="DO735" s="1389">
        <f t="shared" si="23"/>
        <v>0</v>
      </c>
      <c r="DP735" s="1389"/>
      <c r="DQ735" s="1389"/>
      <c r="DR735" s="1389"/>
      <c r="DS735" s="1389"/>
      <c r="DT735" s="6"/>
      <c r="DU735" s="1394">
        <f t="shared" si="24"/>
        <v>0</v>
      </c>
      <c r="DV735" s="1394"/>
      <c r="DW735" s="1394"/>
      <c r="DX735" s="1394"/>
      <c r="DY735" s="1394"/>
      <c r="DZ735" s="1394">
        <f t="shared" si="25"/>
        <v>0</v>
      </c>
      <c r="EA735" s="1394"/>
      <c r="EB735" s="1394"/>
      <c r="EC735" s="1394"/>
      <c r="ED735" s="1394"/>
      <c r="EE735" s="1394">
        <f t="shared" si="26"/>
        <v>0</v>
      </c>
      <c r="EF735" s="1394"/>
      <c r="EG735" s="1394"/>
      <c r="EH735" s="1394"/>
      <c r="EI735" s="1394"/>
      <c r="EJ735" s="1394">
        <f t="shared" si="27"/>
        <v>0</v>
      </c>
      <c r="EK735" s="1394"/>
      <c r="EL735" s="1394"/>
      <c r="EM735" s="1394"/>
      <c r="EN735" s="1394"/>
      <c r="EO735" s="1394">
        <f t="shared" si="28"/>
        <v>0</v>
      </c>
      <c r="EP735" s="1394"/>
      <c r="EQ735" s="1394"/>
      <c r="ER735" s="1394"/>
      <c r="ES735" s="1394"/>
      <c r="ET735" s="1394">
        <f t="shared" si="29"/>
        <v>0</v>
      </c>
      <c r="EU735" s="1394"/>
      <c r="EV735" s="1394"/>
      <c r="EW735" s="1394"/>
      <c r="EX735" s="1394"/>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3" customHeight="1">
      <c r="B736" s="1390"/>
      <c r="C736" s="1391"/>
      <c r="D736" s="1391"/>
      <c r="E736" s="1391"/>
      <c r="F736" s="1392"/>
      <c r="G736" s="1427"/>
      <c r="H736" s="1428"/>
      <c r="I736" s="1428"/>
      <c r="J736" s="1429"/>
      <c r="K736" s="1342"/>
      <c r="L736" s="1343"/>
      <c r="M736" s="1343"/>
      <c r="N736" s="1344"/>
      <c r="O736" s="1615"/>
      <c r="P736" s="1616"/>
      <c r="Q736" s="1616"/>
      <c r="R736" s="1616"/>
      <c r="S736" s="1617"/>
      <c r="T736" s="1615"/>
      <c r="U736" s="1616"/>
      <c r="V736" s="1616"/>
      <c r="W736" s="1617"/>
      <c r="X736" s="1373">
        <f t="shared" si="8"/>
        <v>0</v>
      </c>
      <c r="Y736" s="1374"/>
      <c r="Z736" s="1374"/>
      <c r="AA736" s="1374"/>
      <c r="AB736" s="1375"/>
      <c r="AC736" s="1432"/>
      <c r="AD736" s="1433"/>
      <c r="AE736" s="1433"/>
      <c r="AF736" s="1433"/>
      <c r="AG736" s="1434"/>
      <c r="AH736" s="1435" t="str">
        <f t="shared" si="36"/>
        <v/>
      </c>
      <c r="AI736" s="1436"/>
      <c r="AJ736" s="1437"/>
      <c r="AK736" s="1390" t="s">
        <v>591</v>
      </c>
      <c r="AL736" s="1391"/>
      <c r="AM736" s="1391"/>
      <c r="AN736" s="1391"/>
      <c r="AO736" s="1392"/>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5">
        <f t="shared" si="37"/>
        <v>0</v>
      </c>
      <c r="CH736" s="1357"/>
      <c r="CI736" s="1345">
        <f t="shared" si="38"/>
        <v>0</v>
      </c>
      <c r="CJ736" s="1347"/>
      <c r="CK736" s="1355">
        <f t="shared" si="16"/>
        <v>0</v>
      </c>
      <c r="CL736" s="1357"/>
      <c r="CM736" s="1345">
        <f t="shared" si="17"/>
        <v>0</v>
      </c>
      <c r="CN736" s="1347"/>
      <c r="CO736" s="3"/>
      <c r="CP736" s="1339">
        <f t="shared" si="18"/>
        <v>0</v>
      </c>
      <c r="CQ736" s="1340"/>
      <c r="CR736" s="1340"/>
      <c r="CS736" s="1340"/>
      <c r="CT736" s="1341"/>
      <c r="CU736" s="1389">
        <f t="shared" si="19"/>
        <v>0</v>
      </c>
      <c r="CV736" s="1389"/>
      <c r="CW736" s="1389"/>
      <c r="CX736" s="1389"/>
      <c r="CY736" s="1389"/>
      <c r="CZ736" s="1389">
        <f t="shared" si="20"/>
        <v>0</v>
      </c>
      <c r="DA736" s="1389"/>
      <c r="DB736" s="1389"/>
      <c r="DC736" s="1389"/>
      <c r="DD736" s="1389"/>
      <c r="DE736" s="1389">
        <f t="shared" si="21"/>
        <v>0</v>
      </c>
      <c r="DF736" s="1389"/>
      <c r="DG736" s="1389"/>
      <c r="DH736" s="1389"/>
      <c r="DI736" s="1389"/>
      <c r="DJ736" s="1389">
        <f t="shared" si="22"/>
        <v>0</v>
      </c>
      <c r="DK736" s="1389"/>
      <c r="DL736" s="1389"/>
      <c r="DM736" s="1389"/>
      <c r="DN736" s="1389"/>
      <c r="DO736" s="1389">
        <f t="shared" si="23"/>
        <v>0</v>
      </c>
      <c r="DP736" s="1389"/>
      <c r="DQ736" s="1389"/>
      <c r="DR736" s="1389"/>
      <c r="DS736" s="1389"/>
      <c r="DT736" s="6"/>
      <c r="DU736" s="1394">
        <f t="shared" si="24"/>
        <v>0</v>
      </c>
      <c r="DV736" s="1394"/>
      <c r="DW736" s="1394"/>
      <c r="DX736" s="1394"/>
      <c r="DY736" s="1394"/>
      <c r="DZ736" s="1394">
        <f t="shared" si="25"/>
        <v>0</v>
      </c>
      <c r="EA736" s="1394"/>
      <c r="EB736" s="1394"/>
      <c r="EC736" s="1394"/>
      <c r="ED736" s="1394"/>
      <c r="EE736" s="1394">
        <f t="shared" si="26"/>
        <v>0</v>
      </c>
      <c r="EF736" s="1394"/>
      <c r="EG736" s="1394"/>
      <c r="EH736" s="1394"/>
      <c r="EI736" s="1394"/>
      <c r="EJ736" s="1394">
        <f t="shared" si="27"/>
        <v>0</v>
      </c>
      <c r="EK736" s="1394"/>
      <c r="EL736" s="1394"/>
      <c r="EM736" s="1394"/>
      <c r="EN736" s="1394"/>
      <c r="EO736" s="1394">
        <f t="shared" si="28"/>
        <v>0</v>
      </c>
      <c r="EP736" s="1394"/>
      <c r="EQ736" s="1394"/>
      <c r="ER736" s="1394"/>
      <c r="ES736" s="1394"/>
      <c r="ET736" s="1394">
        <f t="shared" si="29"/>
        <v>0</v>
      </c>
      <c r="EU736" s="1394"/>
      <c r="EV736" s="1394"/>
      <c r="EW736" s="1394"/>
      <c r="EX736" s="1394"/>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3" customHeight="1">
      <c r="B737" s="1390"/>
      <c r="C737" s="1391"/>
      <c r="D737" s="1391"/>
      <c r="E737" s="1391"/>
      <c r="F737" s="1392"/>
      <c r="G737" s="1427"/>
      <c r="H737" s="1428"/>
      <c r="I737" s="1428"/>
      <c r="J737" s="1429"/>
      <c r="K737" s="1342"/>
      <c r="L737" s="1343"/>
      <c r="M737" s="1343"/>
      <c r="N737" s="1344"/>
      <c r="O737" s="1615"/>
      <c r="P737" s="1616"/>
      <c r="Q737" s="1616"/>
      <c r="R737" s="1616"/>
      <c r="S737" s="1617"/>
      <c r="T737" s="1615"/>
      <c r="U737" s="1616"/>
      <c r="V737" s="1616"/>
      <c r="W737" s="1617"/>
      <c r="X737" s="1373">
        <f t="shared" si="8"/>
        <v>0</v>
      </c>
      <c r="Y737" s="1374"/>
      <c r="Z737" s="1374"/>
      <c r="AA737" s="1374"/>
      <c r="AB737" s="1375"/>
      <c r="AC737" s="1432"/>
      <c r="AD737" s="1433"/>
      <c r="AE737" s="1433"/>
      <c r="AF737" s="1433"/>
      <c r="AG737" s="1434"/>
      <c r="AH737" s="1435" t="str">
        <f t="shared" si="36"/>
        <v/>
      </c>
      <c r="AI737" s="1436"/>
      <c r="AJ737" s="1437"/>
      <c r="AK737" s="1390" t="s">
        <v>591</v>
      </c>
      <c r="AL737" s="1391"/>
      <c r="AM737" s="1391"/>
      <c r="AN737" s="1391"/>
      <c r="AO737" s="1392"/>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5">
        <f t="shared" si="37"/>
        <v>0</v>
      </c>
      <c r="CH737" s="1357"/>
      <c r="CI737" s="1345">
        <f t="shared" si="38"/>
        <v>0</v>
      </c>
      <c r="CJ737" s="1347"/>
      <c r="CK737" s="1355">
        <f t="shared" si="16"/>
        <v>0</v>
      </c>
      <c r="CL737" s="1357"/>
      <c r="CM737" s="1345">
        <f t="shared" si="17"/>
        <v>0</v>
      </c>
      <c r="CN737" s="1347"/>
      <c r="CO737" s="3"/>
      <c r="CP737" s="1339">
        <f t="shared" si="18"/>
        <v>0</v>
      </c>
      <c r="CQ737" s="1340"/>
      <c r="CR737" s="1340"/>
      <c r="CS737" s="1340"/>
      <c r="CT737" s="1341"/>
      <c r="CU737" s="1389">
        <f t="shared" si="19"/>
        <v>0</v>
      </c>
      <c r="CV737" s="1389"/>
      <c r="CW737" s="1389"/>
      <c r="CX737" s="1389"/>
      <c r="CY737" s="1389"/>
      <c r="CZ737" s="1389">
        <f t="shared" si="20"/>
        <v>0</v>
      </c>
      <c r="DA737" s="1389"/>
      <c r="DB737" s="1389"/>
      <c r="DC737" s="1389"/>
      <c r="DD737" s="1389"/>
      <c r="DE737" s="1389">
        <f t="shared" si="21"/>
        <v>0</v>
      </c>
      <c r="DF737" s="1389"/>
      <c r="DG737" s="1389"/>
      <c r="DH737" s="1389"/>
      <c r="DI737" s="1389"/>
      <c r="DJ737" s="1389">
        <f t="shared" si="22"/>
        <v>0</v>
      </c>
      <c r="DK737" s="1389"/>
      <c r="DL737" s="1389"/>
      <c r="DM737" s="1389"/>
      <c r="DN737" s="1389"/>
      <c r="DO737" s="1389">
        <f t="shared" si="23"/>
        <v>0</v>
      </c>
      <c r="DP737" s="1389"/>
      <c r="DQ737" s="1389"/>
      <c r="DR737" s="1389"/>
      <c r="DS737" s="1389"/>
      <c r="DT737" s="6"/>
      <c r="DU737" s="1394">
        <f t="shared" si="24"/>
        <v>0</v>
      </c>
      <c r="DV737" s="1394"/>
      <c r="DW737" s="1394"/>
      <c r="DX737" s="1394"/>
      <c r="DY737" s="1394"/>
      <c r="DZ737" s="1394">
        <f t="shared" si="25"/>
        <v>0</v>
      </c>
      <c r="EA737" s="1394"/>
      <c r="EB737" s="1394"/>
      <c r="EC737" s="1394"/>
      <c r="ED737" s="1394"/>
      <c r="EE737" s="1394">
        <f t="shared" si="26"/>
        <v>0</v>
      </c>
      <c r="EF737" s="1394"/>
      <c r="EG737" s="1394"/>
      <c r="EH737" s="1394"/>
      <c r="EI737" s="1394"/>
      <c r="EJ737" s="1394">
        <f t="shared" si="27"/>
        <v>0</v>
      </c>
      <c r="EK737" s="1394"/>
      <c r="EL737" s="1394"/>
      <c r="EM737" s="1394"/>
      <c r="EN737" s="1394"/>
      <c r="EO737" s="1394">
        <f t="shared" si="28"/>
        <v>0</v>
      </c>
      <c r="EP737" s="1394"/>
      <c r="EQ737" s="1394"/>
      <c r="ER737" s="1394"/>
      <c r="ES737" s="1394"/>
      <c r="ET737" s="1394">
        <f t="shared" si="29"/>
        <v>0</v>
      </c>
      <c r="EU737" s="1394"/>
      <c r="EV737" s="1394"/>
      <c r="EW737" s="1394"/>
      <c r="EX737" s="1394"/>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3" customHeight="1">
      <c r="B738" s="1390"/>
      <c r="C738" s="1391"/>
      <c r="D738" s="1391"/>
      <c r="E738" s="1391"/>
      <c r="F738" s="1392"/>
      <c r="G738" s="1427"/>
      <c r="H738" s="1428"/>
      <c r="I738" s="1428"/>
      <c r="J738" s="1429"/>
      <c r="K738" s="1342"/>
      <c r="L738" s="1343"/>
      <c r="M738" s="1343"/>
      <c r="N738" s="1344"/>
      <c r="O738" s="1615"/>
      <c r="P738" s="1616"/>
      <c r="Q738" s="1616"/>
      <c r="R738" s="1616"/>
      <c r="S738" s="1617"/>
      <c r="T738" s="1615"/>
      <c r="U738" s="1616"/>
      <c r="V738" s="1616"/>
      <c r="W738" s="1617"/>
      <c r="X738" s="1373">
        <f t="shared" si="8"/>
        <v>0</v>
      </c>
      <c r="Y738" s="1374"/>
      <c r="Z738" s="1374"/>
      <c r="AA738" s="1374"/>
      <c r="AB738" s="1375"/>
      <c r="AC738" s="1432"/>
      <c r="AD738" s="1433"/>
      <c r="AE738" s="1433"/>
      <c r="AF738" s="1433"/>
      <c r="AG738" s="1434"/>
      <c r="AH738" s="1435" t="str">
        <f t="shared" si="36"/>
        <v/>
      </c>
      <c r="AI738" s="1436"/>
      <c r="AJ738" s="1437"/>
      <c r="AK738" s="1390" t="s">
        <v>591</v>
      </c>
      <c r="AL738" s="1391"/>
      <c r="AM738" s="1391"/>
      <c r="AN738" s="1391"/>
      <c r="AO738" s="1392"/>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5">
        <f t="shared" si="37"/>
        <v>0</v>
      </c>
      <c r="CH738" s="1357"/>
      <c r="CI738" s="1345">
        <f t="shared" si="38"/>
        <v>0</v>
      </c>
      <c r="CJ738" s="1347"/>
      <c r="CK738" s="1355">
        <f t="shared" si="16"/>
        <v>0</v>
      </c>
      <c r="CL738" s="1357"/>
      <c r="CM738" s="1345">
        <f t="shared" si="17"/>
        <v>0</v>
      </c>
      <c r="CN738" s="1347"/>
      <c r="CO738" s="3"/>
      <c r="CP738" s="1339">
        <f t="shared" si="18"/>
        <v>0</v>
      </c>
      <c r="CQ738" s="1340"/>
      <c r="CR738" s="1340"/>
      <c r="CS738" s="1340"/>
      <c r="CT738" s="1341"/>
      <c r="CU738" s="1389">
        <f t="shared" si="19"/>
        <v>0</v>
      </c>
      <c r="CV738" s="1389"/>
      <c r="CW738" s="1389"/>
      <c r="CX738" s="1389"/>
      <c r="CY738" s="1389"/>
      <c r="CZ738" s="1389">
        <f t="shared" si="20"/>
        <v>0</v>
      </c>
      <c r="DA738" s="1389"/>
      <c r="DB738" s="1389"/>
      <c r="DC738" s="1389"/>
      <c r="DD738" s="1389"/>
      <c r="DE738" s="1389">
        <f t="shared" si="21"/>
        <v>0</v>
      </c>
      <c r="DF738" s="1389"/>
      <c r="DG738" s="1389"/>
      <c r="DH738" s="1389"/>
      <c r="DI738" s="1389"/>
      <c r="DJ738" s="1389">
        <f t="shared" si="22"/>
        <v>0</v>
      </c>
      <c r="DK738" s="1389"/>
      <c r="DL738" s="1389"/>
      <c r="DM738" s="1389"/>
      <c r="DN738" s="1389"/>
      <c r="DO738" s="1389">
        <f t="shared" si="23"/>
        <v>0</v>
      </c>
      <c r="DP738" s="1389"/>
      <c r="DQ738" s="1389"/>
      <c r="DR738" s="1389"/>
      <c r="DS738" s="1389"/>
      <c r="DT738" s="6"/>
      <c r="DU738" s="1394">
        <f t="shared" si="24"/>
        <v>0</v>
      </c>
      <c r="DV738" s="1394"/>
      <c r="DW738" s="1394"/>
      <c r="DX738" s="1394"/>
      <c r="DY738" s="1394"/>
      <c r="DZ738" s="1394">
        <f t="shared" si="25"/>
        <v>0</v>
      </c>
      <c r="EA738" s="1394"/>
      <c r="EB738" s="1394"/>
      <c r="EC738" s="1394"/>
      <c r="ED738" s="1394"/>
      <c r="EE738" s="1394">
        <f t="shared" si="26"/>
        <v>0</v>
      </c>
      <c r="EF738" s="1394"/>
      <c r="EG738" s="1394"/>
      <c r="EH738" s="1394"/>
      <c r="EI738" s="1394"/>
      <c r="EJ738" s="1394">
        <f t="shared" si="27"/>
        <v>0</v>
      </c>
      <c r="EK738" s="1394"/>
      <c r="EL738" s="1394"/>
      <c r="EM738" s="1394"/>
      <c r="EN738" s="1394"/>
      <c r="EO738" s="1394">
        <f t="shared" si="28"/>
        <v>0</v>
      </c>
      <c r="EP738" s="1394"/>
      <c r="EQ738" s="1394"/>
      <c r="ER738" s="1394"/>
      <c r="ES738" s="1394"/>
      <c r="ET738" s="1394">
        <f t="shared" si="29"/>
        <v>0</v>
      </c>
      <c r="EU738" s="1394"/>
      <c r="EV738" s="1394"/>
      <c r="EW738" s="1394"/>
      <c r="EX738" s="1394"/>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3" customHeight="1">
      <c r="B739" s="1390"/>
      <c r="C739" s="1391"/>
      <c r="D739" s="1391"/>
      <c r="E739" s="1391"/>
      <c r="F739" s="1392"/>
      <c r="G739" s="1427"/>
      <c r="H739" s="1428"/>
      <c r="I739" s="1428"/>
      <c r="J739" s="1429"/>
      <c r="K739" s="1342"/>
      <c r="L739" s="1343"/>
      <c r="M739" s="1343"/>
      <c r="N739" s="1344"/>
      <c r="O739" s="1615"/>
      <c r="P739" s="1616"/>
      <c r="Q739" s="1616"/>
      <c r="R739" s="1616"/>
      <c r="S739" s="1617"/>
      <c r="T739" s="1615"/>
      <c r="U739" s="1616"/>
      <c r="V739" s="1616"/>
      <c r="W739" s="1617"/>
      <c r="X739" s="1373">
        <f t="shared" si="8"/>
        <v>0</v>
      </c>
      <c r="Y739" s="1374"/>
      <c r="Z739" s="1374"/>
      <c r="AA739" s="1374"/>
      <c r="AB739" s="1375"/>
      <c r="AC739" s="1432"/>
      <c r="AD739" s="1433"/>
      <c r="AE739" s="1433"/>
      <c r="AF739" s="1433"/>
      <c r="AG739" s="1434"/>
      <c r="AH739" s="1435" t="str">
        <f t="shared" si="36"/>
        <v/>
      </c>
      <c r="AI739" s="1436"/>
      <c r="AJ739" s="1437"/>
      <c r="AK739" s="1390" t="s">
        <v>591</v>
      </c>
      <c r="AL739" s="1391"/>
      <c r="AM739" s="1391"/>
      <c r="AN739" s="1391"/>
      <c r="AO739" s="1392"/>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5">
        <f t="shared" si="37"/>
        <v>0</v>
      </c>
      <c r="CH739" s="1357"/>
      <c r="CI739" s="1345">
        <f t="shared" si="38"/>
        <v>0</v>
      </c>
      <c r="CJ739" s="1347"/>
      <c r="CK739" s="1355">
        <f t="shared" si="16"/>
        <v>0</v>
      </c>
      <c r="CL739" s="1357"/>
      <c r="CM739" s="1345">
        <f t="shared" si="17"/>
        <v>0</v>
      </c>
      <c r="CN739" s="1347"/>
      <c r="CO739" s="3"/>
      <c r="CP739" s="1339">
        <f t="shared" si="18"/>
        <v>0</v>
      </c>
      <c r="CQ739" s="1340"/>
      <c r="CR739" s="1340"/>
      <c r="CS739" s="1340"/>
      <c r="CT739" s="1341"/>
      <c r="CU739" s="1389">
        <f t="shared" si="19"/>
        <v>0</v>
      </c>
      <c r="CV739" s="1389"/>
      <c r="CW739" s="1389"/>
      <c r="CX739" s="1389"/>
      <c r="CY739" s="1389"/>
      <c r="CZ739" s="1389">
        <f t="shared" si="20"/>
        <v>0</v>
      </c>
      <c r="DA739" s="1389"/>
      <c r="DB739" s="1389"/>
      <c r="DC739" s="1389"/>
      <c r="DD739" s="1389"/>
      <c r="DE739" s="1389">
        <f t="shared" si="21"/>
        <v>0</v>
      </c>
      <c r="DF739" s="1389"/>
      <c r="DG739" s="1389"/>
      <c r="DH739" s="1389"/>
      <c r="DI739" s="1389"/>
      <c r="DJ739" s="1389">
        <f t="shared" si="22"/>
        <v>0</v>
      </c>
      <c r="DK739" s="1389"/>
      <c r="DL739" s="1389"/>
      <c r="DM739" s="1389"/>
      <c r="DN739" s="1389"/>
      <c r="DO739" s="1389">
        <f t="shared" si="23"/>
        <v>0</v>
      </c>
      <c r="DP739" s="1389"/>
      <c r="DQ739" s="1389"/>
      <c r="DR739" s="1389"/>
      <c r="DS739" s="1389"/>
      <c r="DT739" s="6"/>
      <c r="DU739" s="1394">
        <f t="shared" si="24"/>
        <v>0</v>
      </c>
      <c r="DV739" s="1394"/>
      <c r="DW739" s="1394"/>
      <c r="DX739" s="1394"/>
      <c r="DY739" s="1394"/>
      <c r="DZ739" s="1394">
        <f t="shared" si="25"/>
        <v>0</v>
      </c>
      <c r="EA739" s="1394"/>
      <c r="EB739" s="1394"/>
      <c r="EC739" s="1394"/>
      <c r="ED739" s="1394"/>
      <c r="EE739" s="1394">
        <f t="shared" si="26"/>
        <v>0</v>
      </c>
      <c r="EF739" s="1394"/>
      <c r="EG739" s="1394"/>
      <c r="EH739" s="1394"/>
      <c r="EI739" s="1394"/>
      <c r="EJ739" s="1394">
        <f t="shared" si="27"/>
        <v>0</v>
      </c>
      <c r="EK739" s="1394"/>
      <c r="EL739" s="1394"/>
      <c r="EM739" s="1394"/>
      <c r="EN739" s="1394"/>
      <c r="EO739" s="1394">
        <f t="shared" si="28"/>
        <v>0</v>
      </c>
      <c r="EP739" s="1394"/>
      <c r="EQ739" s="1394"/>
      <c r="ER739" s="1394"/>
      <c r="ES739" s="1394"/>
      <c r="ET739" s="1394">
        <f t="shared" si="29"/>
        <v>0</v>
      </c>
      <c r="EU739" s="1394"/>
      <c r="EV739" s="1394"/>
      <c r="EW739" s="1394"/>
      <c r="EX739" s="1394"/>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3" customHeight="1">
      <c r="B740" s="1390"/>
      <c r="C740" s="1391"/>
      <c r="D740" s="1391"/>
      <c r="E740" s="1391"/>
      <c r="F740" s="1392"/>
      <c r="G740" s="1427"/>
      <c r="H740" s="1428"/>
      <c r="I740" s="1428"/>
      <c r="J740" s="1429"/>
      <c r="K740" s="1342"/>
      <c r="L740" s="1343"/>
      <c r="M740" s="1343"/>
      <c r="N740" s="1344"/>
      <c r="O740" s="1615"/>
      <c r="P740" s="1616"/>
      <c r="Q740" s="1616"/>
      <c r="R740" s="1616"/>
      <c r="S740" s="1617"/>
      <c r="T740" s="1615"/>
      <c r="U740" s="1616"/>
      <c r="V740" s="1616"/>
      <c r="W740" s="1617"/>
      <c r="X740" s="1373">
        <f t="shared" si="8"/>
        <v>0</v>
      </c>
      <c r="Y740" s="1374"/>
      <c r="Z740" s="1374"/>
      <c r="AA740" s="1374"/>
      <c r="AB740" s="1375"/>
      <c r="AC740" s="1432"/>
      <c r="AD740" s="1433"/>
      <c r="AE740" s="1433"/>
      <c r="AF740" s="1433"/>
      <c r="AG740" s="1434"/>
      <c r="AH740" s="1435" t="str">
        <f t="shared" si="36"/>
        <v/>
      </c>
      <c r="AI740" s="1436"/>
      <c r="AJ740" s="1437"/>
      <c r="AK740" s="1390" t="s">
        <v>591</v>
      </c>
      <c r="AL740" s="1391"/>
      <c r="AM740" s="1391"/>
      <c r="AN740" s="1391"/>
      <c r="AO740" s="1392"/>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5">
        <f t="shared" si="37"/>
        <v>0</v>
      </c>
      <c r="CH740" s="1357"/>
      <c r="CI740" s="1345">
        <f t="shared" si="38"/>
        <v>0</v>
      </c>
      <c r="CJ740" s="1347"/>
      <c r="CK740" s="1355">
        <f t="shared" si="16"/>
        <v>0</v>
      </c>
      <c r="CL740" s="1357"/>
      <c r="CM740" s="1345">
        <f t="shared" si="17"/>
        <v>0</v>
      </c>
      <c r="CN740" s="1347"/>
      <c r="CO740" s="3"/>
      <c r="CP740" s="1339">
        <f t="shared" si="18"/>
        <v>0</v>
      </c>
      <c r="CQ740" s="1340"/>
      <c r="CR740" s="1340"/>
      <c r="CS740" s="1340"/>
      <c r="CT740" s="1341"/>
      <c r="CU740" s="1389">
        <f t="shared" si="19"/>
        <v>0</v>
      </c>
      <c r="CV740" s="1389"/>
      <c r="CW740" s="1389"/>
      <c r="CX740" s="1389"/>
      <c r="CY740" s="1389"/>
      <c r="CZ740" s="1389">
        <f t="shared" si="20"/>
        <v>0</v>
      </c>
      <c r="DA740" s="1389"/>
      <c r="DB740" s="1389"/>
      <c r="DC740" s="1389"/>
      <c r="DD740" s="1389"/>
      <c r="DE740" s="1389">
        <f t="shared" si="21"/>
        <v>0</v>
      </c>
      <c r="DF740" s="1389"/>
      <c r="DG740" s="1389"/>
      <c r="DH740" s="1389"/>
      <c r="DI740" s="1389"/>
      <c r="DJ740" s="1389">
        <f t="shared" si="22"/>
        <v>0</v>
      </c>
      <c r="DK740" s="1389"/>
      <c r="DL740" s="1389"/>
      <c r="DM740" s="1389"/>
      <c r="DN740" s="1389"/>
      <c r="DO740" s="1389">
        <f t="shared" si="23"/>
        <v>0</v>
      </c>
      <c r="DP740" s="1389"/>
      <c r="DQ740" s="1389"/>
      <c r="DR740" s="1389"/>
      <c r="DS740" s="1389"/>
      <c r="DT740" s="6"/>
      <c r="DU740" s="1394">
        <f t="shared" si="24"/>
        <v>0</v>
      </c>
      <c r="DV740" s="1394"/>
      <c r="DW740" s="1394"/>
      <c r="DX740" s="1394"/>
      <c r="DY740" s="1394"/>
      <c r="DZ740" s="1394">
        <f t="shared" si="25"/>
        <v>0</v>
      </c>
      <c r="EA740" s="1394"/>
      <c r="EB740" s="1394"/>
      <c r="EC740" s="1394"/>
      <c r="ED740" s="1394"/>
      <c r="EE740" s="1394">
        <f t="shared" si="26"/>
        <v>0</v>
      </c>
      <c r="EF740" s="1394"/>
      <c r="EG740" s="1394"/>
      <c r="EH740" s="1394"/>
      <c r="EI740" s="1394"/>
      <c r="EJ740" s="1394">
        <f t="shared" si="27"/>
        <v>0</v>
      </c>
      <c r="EK740" s="1394"/>
      <c r="EL740" s="1394"/>
      <c r="EM740" s="1394"/>
      <c r="EN740" s="1394"/>
      <c r="EO740" s="1394">
        <f t="shared" si="28"/>
        <v>0</v>
      </c>
      <c r="EP740" s="1394"/>
      <c r="EQ740" s="1394"/>
      <c r="ER740" s="1394"/>
      <c r="ES740" s="1394"/>
      <c r="ET740" s="1394">
        <f t="shared" si="29"/>
        <v>0</v>
      </c>
      <c r="EU740" s="1394"/>
      <c r="EV740" s="1394"/>
      <c r="EW740" s="1394"/>
      <c r="EX740" s="1394"/>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3" customHeight="1">
      <c r="B741" s="1390"/>
      <c r="C741" s="1391"/>
      <c r="D741" s="1391"/>
      <c r="E741" s="1391"/>
      <c r="F741" s="1392"/>
      <c r="G741" s="1427"/>
      <c r="H741" s="1428"/>
      <c r="I741" s="1428"/>
      <c r="J741" s="1429"/>
      <c r="K741" s="1342"/>
      <c r="L741" s="1343"/>
      <c r="M741" s="1343"/>
      <c r="N741" s="1344"/>
      <c r="O741" s="1615"/>
      <c r="P741" s="1616"/>
      <c r="Q741" s="1616"/>
      <c r="R741" s="1616"/>
      <c r="S741" s="1617"/>
      <c r="T741" s="1615"/>
      <c r="U741" s="1616"/>
      <c r="V741" s="1616"/>
      <c r="W741" s="1617"/>
      <c r="X741" s="1373">
        <f t="shared" si="8"/>
        <v>0</v>
      </c>
      <c r="Y741" s="1374"/>
      <c r="Z741" s="1374"/>
      <c r="AA741" s="1374"/>
      <c r="AB741" s="1375"/>
      <c r="AC741" s="1432"/>
      <c r="AD741" s="1433"/>
      <c r="AE741" s="1433"/>
      <c r="AF741" s="1433"/>
      <c r="AG741" s="1434"/>
      <c r="AH741" s="1435" t="str">
        <f t="shared" si="36"/>
        <v/>
      </c>
      <c r="AI741" s="1436"/>
      <c r="AJ741" s="1437"/>
      <c r="AK741" s="1390" t="s">
        <v>591</v>
      </c>
      <c r="AL741" s="1391"/>
      <c r="AM741" s="1391"/>
      <c r="AN741" s="1391"/>
      <c r="AO741" s="1392"/>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5">
        <f t="shared" si="37"/>
        <v>0</v>
      </c>
      <c r="CH741" s="1357"/>
      <c r="CI741" s="1345">
        <f t="shared" si="38"/>
        <v>0</v>
      </c>
      <c r="CJ741" s="1347"/>
      <c r="CK741" s="1355">
        <f t="shared" si="16"/>
        <v>0</v>
      </c>
      <c r="CL741" s="1357"/>
      <c r="CM741" s="1345">
        <f t="shared" si="17"/>
        <v>0</v>
      </c>
      <c r="CN741" s="1347"/>
      <c r="CO741" s="3"/>
      <c r="CP741" s="1339">
        <f t="shared" si="18"/>
        <v>0</v>
      </c>
      <c r="CQ741" s="1340"/>
      <c r="CR741" s="1340"/>
      <c r="CS741" s="1340"/>
      <c r="CT741" s="1341"/>
      <c r="CU741" s="1389">
        <f t="shared" si="19"/>
        <v>0</v>
      </c>
      <c r="CV741" s="1389"/>
      <c r="CW741" s="1389"/>
      <c r="CX741" s="1389"/>
      <c r="CY741" s="1389"/>
      <c r="CZ741" s="1389">
        <f t="shared" si="20"/>
        <v>0</v>
      </c>
      <c r="DA741" s="1389"/>
      <c r="DB741" s="1389"/>
      <c r="DC741" s="1389"/>
      <c r="DD741" s="1389"/>
      <c r="DE741" s="1389">
        <f t="shared" si="21"/>
        <v>0</v>
      </c>
      <c r="DF741" s="1389"/>
      <c r="DG741" s="1389"/>
      <c r="DH741" s="1389"/>
      <c r="DI741" s="1389"/>
      <c r="DJ741" s="1389">
        <f t="shared" si="22"/>
        <v>0</v>
      </c>
      <c r="DK741" s="1389"/>
      <c r="DL741" s="1389"/>
      <c r="DM741" s="1389"/>
      <c r="DN741" s="1389"/>
      <c r="DO741" s="1389">
        <f t="shared" si="23"/>
        <v>0</v>
      </c>
      <c r="DP741" s="1389"/>
      <c r="DQ741" s="1389"/>
      <c r="DR741" s="1389"/>
      <c r="DS741" s="1389"/>
      <c r="DT741" s="6"/>
      <c r="DU741" s="1394">
        <f t="shared" si="24"/>
        <v>0</v>
      </c>
      <c r="DV741" s="1394"/>
      <c r="DW741" s="1394"/>
      <c r="DX741" s="1394"/>
      <c r="DY741" s="1394"/>
      <c r="DZ741" s="1394">
        <f t="shared" si="25"/>
        <v>0</v>
      </c>
      <c r="EA741" s="1394"/>
      <c r="EB741" s="1394"/>
      <c r="EC741" s="1394"/>
      <c r="ED741" s="1394"/>
      <c r="EE741" s="1394">
        <f t="shared" si="26"/>
        <v>0</v>
      </c>
      <c r="EF741" s="1394"/>
      <c r="EG741" s="1394"/>
      <c r="EH741" s="1394"/>
      <c r="EI741" s="1394"/>
      <c r="EJ741" s="1394">
        <f t="shared" si="27"/>
        <v>0</v>
      </c>
      <c r="EK741" s="1394"/>
      <c r="EL741" s="1394"/>
      <c r="EM741" s="1394"/>
      <c r="EN741" s="1394"/>
      <c r="EO741" s="1394">
        <f t="shared" si="28"/>
        <v>0</v>
      </c>
      <c r="EP741" s="1394"/>
      <c r="EQ741" s="1394"/>
      <c r="ER741" s="1394"/>
      <c r="ES741" s="1394"/>
      <c r="ET741" s="1394">
        <f t="shared" si="29"/>
        <v>0</v>
      </c>
      <c r="EU741" s="1394"/>
      <c r="EV741" s="1394"/>
      <c r="EW741" s="1394"/>
      <c r="EX741" s="1394"/>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3" customHeight="1">
      <c r="B742" s="1390"/>
      <c r="C742" s="1391"/>
      <c r="D742" s="1391"/>
      <c r="E742" s="1391"/>
      <c r="F742" s="1392"/>
      <c r="G742" s="1427"/>
      <c r="H742" s="1428"/>
      <c r="I742" s="1428"/>
      <c r="J742" s="1429"/>
      <c r="K742" s="1342"/>
      <c r="L742" s="1343"/>
      <c r="M742" s="1343"/>
      <c r="N742" s="1344"/>
      <c r="O742" s="1615"/>
      <c r="P742" s="1616"/>
      <c r="Q742" s="1616"/>
      <c r="R742" s="1616"/>
      <c r="S742" s="1617"/>
      <c r="T742" s="1615"/>
      <c r="U742" s="1616"/>
      <c r="V742" s="1616"/>
      <c r="W742" s="1617"/>
      <c r="X742" s="1373">
        <f t="shared" ref="X742:X751" si="39">O742+T742</f>
        <v>0</v>
      </c>
      <c r="Y742" s="1374"/>
      <c r="Z742" s="1374"/>
      <c r="AA742" s="1374"/>
      <c r="AB742" s="1375"/>
      <c r="AC742" s="1432"/>
      <c r="AD742" s="1433"/>
      <c r="AE742" s="1433"/>
      <c r="AF742" s="1433"/>
      <c r="AG742" s="1434"/>
      <c r="AH742" s="1435" t="str">
        <f t="shared" si="36"/>
        <v/>
      </c>
      <c r="AI742" s="1436"/>
      <c r="AJ742" s="1437"/>
      <c r="AK742" s="1390" t="s">
        <v>591</v>
      </c>
      <c r="AL742" s="1391"/>
      <c r="AM742" s="1391"/>
      <c r="AN742" s="1391"/>
      <c r="AO742" s="1392"/>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5">
        <f t="shared" si="37"/>
        <v>0</v>
      </c>
      <c r="CH742" s="1357"/>
      <c r="CI742" s="1345">
        <f t="shared" si="38"/>
        <v>0</v>
      </c>
      <c r="CJ742" s="1347"/>
      <c r="CK742" s="1355">
        <f t="shared" si="16"/>
        <v>0</v>
      </c>
      <c r="CL742" s="1357"/>
      <c r="CM742" s="1345">
        <f t="shared" si="17"/>
        <v>0</v>
      </c>
      <c r="CN742" s="1347"/>
      <c r="CO742" s="3"/>
      <c r="CP742" s="1339">
        <f t="shared" si="18"/>
        <v>0</v>
      </c>
      <c r="CQ742" s="1340"/>
      <c r="CR742" s="1340"/>
      <c r="CS742" s="1340"/>
      <c r="CT742" s="1341"/>
      <c r="CU742" s="1389">
        <f t="shared" si="19"/>
        <v>0</v>
      </c>
      <c r="CV742" s="1389"/>
      <c r="CW742" s="1389"/>
      <c r="CX742" s="1389"/>
      <c r="CY742" s="1389"/>
      <c r="CZ742" s="1389">
        <f t="shared" si="20"/>
        <v>0</v>
      </c>
      <c r="DA742" s="1389"/>
      <c r="DB742" s="1389"/>
      <c r="DC742" s="1389"/>
      <c r="DD742" s="1389"/>
      <c r="DE742" s="1389">
        <f t="shared" si="21"/>
        <v>0</v>
      </c>
      <c r="DF742" s="1389"/>
      <c r="DG742" s="1389"/>
      <c r="DH742" s="1389"/>
      <c r="DI742" s="1389"/>
      <c r="DJ742" s="1389">
        <f t="shared" si="22"/>
        <v>0</v>
      </c>
      <c r="DK742" s="1389"/>
      <c r="DL742" s="1389"/>
      <c r="DM742" s="1389"/>
      <c r="DN742" s="1389"/>
      <c r="DO742" s="1389">
        <f t="shared" si="23"/>
        <v>0</v>
      </c>
      <c r="DP742" s="1389"/>
      <c r="DQ742" s="1389"/>
      <c r="DR742" s="1389"/>
      <c r="DS742" s="1389"/>
      <c r="DT742" s="6"/>
      <c r="DU742" s="1394">
        <f t="shared" si="24"/>
        <v>0</v>
      </c>
      <c r="DV742" s="1394"/>
      <c r="DW742" s="1394"/>
      <c r="DX742" s="1394"/>
      <c r="DY742" s="1394"/>
      <c r="DZ742" s="1394">
        <f t="shared" si="25"/>
        <v>0</v>
      </c>
      <c r="EA742" s="1394"/>
      <c r="EB742" s="1394"/>
      <c r="EC742" s="1394"/>
      <c r="ED742" s="1394"/>
      <c r="EE742" s="1394">
        <f t="shared" si="26"/>
        <v>0</v>
      </c>
      <c r="EF742" s="1394"/>
      <c r="EG742" s="1394"/>
      <c r="EH742" s="1394"/>
      <c r="EI742" s="1394"/>
      <c r="EJ742" s="1394">
        <f t="shared" si="27"/>
        <v>0</v>
      </c>
      <c r="EK742" s="1394"/>
      <c r="EL742" s="1394"/>
      <c r="EM742" s="1394"/>
      <c r="EN742" s="1394"/>
      <c r="EO742" s="1394">
        <f t="shared" si="28"/>
        <v>0</v>
      </c>
      <c r="EP742" s="1394"/>
      <c r="EQ742" s="1394"/>
      <c r="ER742" s="1394"/>
      <c r="ES742" s="1394"/>
      <c r="ET742" s="1394">
        <f t="shared" si="29"/>
        <v>0</v>
      </c>
      <c r="EU742" s="1394"/>
      <c r="EV742" s="1394"/>
      <c r="EW742" s="1394"/>
      <c r="EX742" s="1394"/>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3" customHeight="1">
      <c r="A743"/>
      <c r="B743" s="1390"/>
      <c r="C743" s="1391"/>
      <c r="D743" s="1391"/>
      <c r="E743" s="1391"/>
      <c r="F743" s="1392"/>
      <c r="G743" s="1427"/>
      <c r="H743" s="1428"/>
      <c r="I743" s="1428"/>
      <c r="J743" s="1429"/>
      <c r="K743" s="1342"/>
      <c r="L743" s="1343"/>
      <c r="M743" s="1343"/>
      <c r="N743" s="1344"/>
      <c r="O743" s="1615"/>
      <c r="P743" s="1616"/>
      <c r="Q743" s="1616"/>
      <c r="R743" s="1616"/>
      <c r="S743" s="1617"/>
      <c r="T743" s="1615"/>
      <c r="U743" s="1616"/>
      <c r="V743" s="1616"/>
      <c r="W743" s="1617"/>
      <c r="X743" s="1373">
        <f t="shared" si="39"/>
        <v>0</v>
      </c>
      <c r="Y743" s="1374"/>
      <c r="Z743" s="1374"/>
      <c r="AA743" s="1374"/>
      <c r="AB743" s="1375"/>
      <c r="AC743" s="1432"/>
      <c r="AD743" s="1433"/>
      <c r="AE743" s="1433"/>
      <c r="AF743" s="1433"/>
      <c r="AG743" s="1434"/>
      <c r="AH743" s="1435" t="str">
        <f t="shared" si="36"/>
        <v/>
      </c>
      <c r="AI743" s="1436"/>
      <c r="AJ743" s="1437"/>
      <c r="AK743" s="1390" t="s">
        <v>591</v>
      </c>
      <c r="AL743" s="1391"/>
      <c r="AM743" s="1391"/>
      <c r="AN743" s="1391"/>
      <c r="AO743" s="1392"/>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5">
        <f t="shared" si="37"/>
        <v>0</v>
      </c>
      <c r="CH743" s="1357"/>
      <c r="CI743" s="1345">
        <f t="shared" si="38"/>
        <v>0</v>
      </c>
      <c r="CJ743" s="1347"/>
      <c r="CK743" s="1355">
        <f t="shared" si="16"/>
        <v>0</v>
      </c>
      <c r="CL743" s="1357"/>
      <c r="CM743" s="1345">
        <f t="shared" si="17"/>
        <v>0</v>
      </c>
      <c r="CN743" s="1347"/>
      <c r="CP743" s="1339">
        <f t="shared" si="18"/>
        <v>0</v>
      </c>
      <c r="CQ743" s="1340"/>
      <c r="CR743" s="1340"/>
      <c r="CS743" s="1340"/>
      <c r="CT743" s="1341"/>
      <c r="CU743" s="1389">
        <f t="shared" si="19"/>
        <v>0</v>
      </c>
      <c r="CV743" s="1389"/>
      <c r="CW743" s="1389"/>
      <c r="CX743" s="1389"/>
      <c r="CY743" s="1389"/>
      <c r="CZ743" s="1389">
        <f t="shared" si="20"/>
        <v>0</v>
      </c>
      <c r="DA743" s="1389"/>
      <c r="DB743" s="1389"/>
      <c r="DC743" s="1389"/>
      <c r="DD743" s="1389"/>
      <c r="DE743" s="1389">
        <f t="shared" si="21"/>
        <v>0</v>
      </c>
      <c r="DF743" s="1389"/>
      <c r="DG743" s="1389"/>
      <c r="DH743" s="1389"/>
      <c r="DI743" s="1389"/>
      <c r="DJ743" s="1389">
        <f t="shared" si="22"/>
        <v>0</v>
      </c>
      <c r="DK743" s="1389"/>
      <c r="DL743" s="1389"/>
      <c r="DM743" s="1389"/>
      <c r="DN743" s="1389"/>
      <c r="DO743" s="1389">
        <f t="shared" si="23"/>
        <v>0</v>
      </c>
      <c r="DP743" s="1389"/>
      <c r="DQ743" s="1389"/>
      <c r="DR743" s="1389"/>
      <c r="DS743" s="1389"/>
      <c r="DT743" s="6"/>
      <c r="DU743" s="1394">
        <f t="shared" si="24"/>
        <v>0</v>
      </c>
      <c r="DV743" s="1394"/>
      <c r="DW743" s="1394"/>
      <c r="DX743" s="1394"/>
      <c r="DY743" s="1394"/>
      <c r="DZ743" s="1394">
        <f t="shared" si="25"/>
        <v>0</v>
      </c>
      <c r="EA743" s="1394"/>
      <c r="EB743" s="1394"/>
      <c r="EC743" s="1394"/>
      <c r="ED743" s="1394"/>
      <c r="EE743" s="1394">
        <f t="shared" si="26"/>
        <v>0</v>
      </c>
      <c r="EF743" s="1394"/>
      <c r="EG743" s="1394"/>
      <c r="EH743" s="1394"/>
      <c r="EI743" s="1394"/>
      <c r="EJ743" s="1394">
        <f t="shared" si="27"/>
        <v>0</v>
      </c>
      <c r="EK743" s="1394"/>
      <c r="EL743" s="1394"/>
      <c r="EM743" s="1394"/>
      <c r="EN743" s="1394"/>
      <c r="EO743" s="1394">
        <f t="shared" si="28"/>
        <v>0</v>
      </c>
      <c r="EP743" s="1394"/>
      <c r="EQ743" s="1394"/>
      <c r="ER743" s="1394"/>
      <c r="ES743" s="1394"/>
      <c r="ET743" s="1394">
        <f t="shared" si="29"/>
        <v>0</v>
      </c>
      <c r="EU743" s="1394"/>
      <c r="EV743" s="1394"/>
      <c r="EW743" s="1394"/>
      <c r="EX743" s="1394"/>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3" customHeight="1">
      <c r="B744" s="1390"/>
      <c r="C744" s="1391"/>
      <c r="D744" s="1391"/>
      <c r="E744" s="1391"/>
      <c r="F744" s="1392"/>
      <c r="G744" s="1427"/>
      <c r="H744" s="1428"/>
      <c r="I744" s="1428"/>
      <c r="J744" s="1429"/>
      <c r="K744" s="1342"/>
      <c r="L744" s="1343"/>
      <c r="M744" s="1343"/>
      <c r="N744" s="1344"/>
      <c r="O744" s="1615"/>
      <c r="P744" s="1616"/>
      <c r="Q744" s="1616"/>
      <c r="R744" s="1616"/>
      <c r="S744" s="1617"/>
      <c r="T744" s="1615"/>
      <c r="U744" s="1616"/>
      <c r="V744" s="1616"/>
      <c r="W744" s="1617"/>
      <c r="X744" s="1373">
        <f t="shared" si="39"/>
        <v>0</v>
      </c>
      <c r="Y744" s="1374"/>
      <c r="Z744" s="1374"/>
      <c r="AA744" s="1374"/>
      <c r="AB744" s="1375"/>
      <c r="AC744" s="1432"/>
      <c r="AD744" s="1433"/>
      <c r="AE744" s="1433"/>
      <c r="AF744" s="1433"/>
      <c r="AG744" s="1434"/>
      <c r="AH744" s="1435" t="str">
        <f t="shared" si="36"/>
        <v/>
      </c>
      <c r="AI744" s="1436"/>
      <c r="AJ744" s="1437"/>
      <c r="AK744" s="1390" t="s">
        <v>591</v>
      </c>
      <c r="AL744" s="1391"/>
      <c r="AM744" s="1391"/>
      <c r="AN744" s="1391"/>
      <c r="AO744" s="1392"/>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5">
        <f t="shared" si="37"/>
        <v>0</v>
      </c>
      <c r="CH744" s="1357"/>
      <c r="CI744" s="1345">
        <f t="shared" si="38"/>
        <v>0</v>
      </c>
      <c r="CJ744" s="1347"/>
      <c r="CK744" s="1355">
        <f t="shared" si="16"/>
        <v>0</v>
      </c>
      <c r="CL744" s="1357"/>
      <c r="CM744" s="1345">
        <f t="shared" si="17"/>
        <v>0</v>
      </c>
      <c r="CN744" s="1347"/>
      <c r="CO744" s="3"/>
      <c r="CP744" s="1339">
        <f t="shared" si="18"/>
        <v>0</v>
      </c>
      <c r="CQ744" s="1340"/>
      <c r="CR744" s="1340"/>
      <c r="CS744" s="1340"/>
      <c r="CT744" s="1341"/>
      <c r="CU744" s="1389">
        <f t="shared" si="19"/>
        <v>0</v>
      </c>
      <c r="CV744" s="1389"/>
      <c r="CW744" s="1389"/>
      <c r="CX744" s="1389"/>
      <c r="CY744" s="1389"/>
      <c r="CZ744" s="1389">
        <f t="shared" si="20"/>
        <v>0</v>
      </c>
      <c r="DA744" s="1389"/>
      <c r="DB744" s="1389"/>
      <c r="DC744" s="1389"/>
      <c r="DD744" s="1389"/>
      <c r="DE744" s="1389">
        <f t="shared" si="21"/>
        <v>0</v>
      </c>
      <c r="DF744" s="1389"/>
      <c r="DG744" s="1389"/>
      <c r="DH744" s="1389"/>
      <c r="DI744" s="1389"/>
      <c r="DJ744" s="1389">
        <f t="shared" si="22"/>
        <v>0</v>
      </c>
      <c r="DK744" s="1389"/>
      <c r="DL744" s="1389"/>
      <c r="DM744" s="1389"/>
      <c r="DN744" s="1389"/>
      <c r="DO744" s="1389">
        <f t="shared" si="23"/>
        <v>0</v>
      </c>
      <c r="DP744" s="1389"/>
      <c r="DQ744" s="1389"/>
      <c r="DR744" s="1389"/>
      <c r="DS744" s="1389"/>
      <c r="DT744" s="6"/>
      <c r="DU744" s="1394">
        <f t="shared" si="24"/>
        <v>0</v>
      </c>
      <c r="DV744" s="1394"/>
      <c r="DW744" s="1394"/>
      <c r="DX744" s="1394"/>
      <c r="DY744" s="1394"/>
      <c r="DZ744" s="1394">
        <f t="shared" si="25"/>
        <v>0</v>
      </c>
      <c r="EA744" s="1394"/>
      <c r="EB744" s="1394"/>
      <c r="EC744" s="1394"/>
      <c r="ED744" s="1394"/>
      <c r="EE744" s="1394">
        <f t="shared" si="26"/>
        <v>0</v>
      </c>
      <c r="EF744" s="1394"/>
      <c r="EG744" s="1394"/>
      <c r="EH744" s="1394"/>
      <c r="EI744" s="1394"/>
      <c r="EJ744" s="1394">
        <f t="shared" si="27"/>
        <v>0</v>
      </c>
      <c r="EK744" s="1394"/>
      <c r="EL744" s="1394"/>
      <c r="EM744" s="1394"/>
      <c r="EN744" s="1394"/>
      <c r="EO744" s="1394">
        <f t="shared" si="28"/>
        <v>0</v>
      </c>
      <c r="EP744" s="1394"/>
      <c r="EQ744" s="1394"/>
      <c r="ER744" s="1394"/>
      <c r="ES744" s="1394"/>
      <c r="ET744" s="1394">
        <f t="shared" si="29"/>
        <v>0</v>
      </c>
      <c r="EU744" s="1394"/>
      <c r="EV744" s="1394"/>
      <c r="EW744" s="1394"/>
      <c r="EX744" s="1394"/>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3" customHeight="1">
      <c r="B745" s="1390"/>
      <c r="C745" s="1391"/>
      <c r="D745" s="1391"/>
      <c r="E745" s="1391"/>
      <c r="F745" s="1392"/>
      <c r="G745" s="1427"/>
      <c r="H745" s="1428"/>
      <c r="I745" s="1428"/>
      <c r="J745" s="1429"/>
      <c r="K745" s="1342"/>
      <c r="L745" s="1343"/>
      <c r="M745" s="1343"/>
      <c r="N745" s="1344"/>
      <c r="O745" s="1615"/>
      <c r="P745" s="1616"/>
      <c r="Q745" s="1616"/>
      <c r="R745" s="1616"/>
      <c r="S745" s="1617"/>
      <c r="T745" s="1615"/>
      <c r="U745" s="1616"/>
      <c r="V745" s="1616"/>
      <c r="W745" s="1617"/>
      <c r="X745" s="1373">
        <f t="shared" si="39"/>
        <v>0</v>
      </c>
      <c r="Y745" s="1374"/>
      <c r="Z745" s="1374"/>
      <c r="AA745" s="1374"/>
      <c r="AB745" s="1375"/>
      <c r="AC745" s="1432"/>
      <c r="AD745" s="1433"/>
      <c r="AE745" s="1433"/>
      <c r="AF745" s="1433"/>
      <c r="AG745" s="1434"/>
      <c r="AH745" s="1435" t="str">
        <f t="shared" si="36"/>
        <v/>
      </c>
      <c r="AI745" s="1436"/>
      <c r="AJ745" s="1437"/>
      <c r="AK745" s="1390" t="s">
        <v>591</v>
      </c>
      <c r="AL745" s="1391"/>
      <c r="AM745" s="1391"/>
      <c r="AN745" s="1391"/>
      <c r="AO745" s="1392"/>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5">
        <f t="shared" si="37"/>
        <v>0</v>
      </c>
      <c r="CH745" s="1357"/>
      <c r="CI745" s="1345">
        <f t="shared" si="38"/>
        <v>0</v>
      </c>
      <c r="CJ745" s="1347"/>
      <c r="CK745" s="1355">
        <f t="shared" si="16"/>
        <v>0</v>
      </c>
      <c r="CL745" s="1357"/>
      <c r="CM745" s="1345">
        <f t="shared" si="17"/>
        <v>0</v>
      </c>
      <c r="CN745" s="1347"/>
      <c r="CO745" s="3"/>
      <c r="CP745" s="1339">
        <f t="shared" si="18"/>
        <v>0</v>
      </c>
      <c r="CQ745" s="1340"/>
      <c r="CR745" s="1340"/>
      <c r="CS745" s="1340"/>
      <c r="CT745" s="1341"/>
      <c r="CU745" s="1389">
        <f t="shared" si="19"/>
        <v>0</v>
      </c>
      <c r="CV745" s="1389"/>
      <c r="CW745" s="1389"/>
      <c r="CX745" s="1389"/>
      <c r="CY745" s="1389"/>
      <c r="CZ745" s="1389">
        <f t="shared" si="20"/>
        <v>0</v>
      </c>
      <c r="DA745" s="1389"/>
      <c r="DB745" s="1389"/>
      <c r="DC745" s="1389"/>
      <c r="DD745" s="1389"/>
      <c r="DE745" s="1389">
        <f t="shared" si="21"/>
        <v>0</v>
      </c>
      <c r="DF745" s="1389"/>
      <c r="DG745" s="1389"/>
      <c r="DH745" s="1389"/>
      <c r="DI745" s="1389"/>
      <c r="DJ745" s="1389">
        <f t="shared" si="22"/>
        <v>0</v>
      </c>
      <c r="DK745" s="1389"/>
      <c r="DL745" s="1389"/>
      <c r="DM745" s="1389"/>
      <c r="DN745" s="1389"/>
      <c r="DO745" s="1389">
        <f t="shared" si="23"/>
        <v>0</v>
      </c>
      <c r="DP745" s="1389"/>
      <c r="DQ745" s="1389"/>
      <c r="DR745" s="1389"/>
      <c r="DS745" s="1389"/>
      <c r="DT745" s="6"/>
      <c r="DU745" s="1394">
        <f t="shared" si="24"/>
        <v>0</v>
      </c>
      <c r="DV745" s="1394"/>
      <c r="DW745" s="1394"/>
      <c r="DX745" s="1394"/>
      <c r="DY745" s="1394"/>
      <c r="DZ745" s="1394">
        <f t="shared" si="25"/>
        <v>0</v>
      </c>
      <c r="EA745" s="1394"/>
      <c r="EB745" s="1394"/>
      <c r="EC745" s="1394"/>
      <c r="ED745" s="1394"/>
      <c r="EE745" s="1394">
        <f t="shared" si="26"/>
        <v>0</v>
      </c>
      <c r="EF745" s="1394"/>
      <c r="EG745" s="1394"/>
      <c r="EH745" s="1394"/>
      <c r="EI745" s="1394"/>
      <c r="EJ745" s="1394">
        <f t="shared" si="27"/>
        <v>0</v>
      </c>
      <c r="EK745" s="1394"/>
      <c r="EL745" s="1394"/>
      <c r="EM745" s="1394"/>
      <c r="EN745" s="1394"/>
      <c r="EO745" s="1394">
        <f t="shared" si="28"/>
        <v>0</v>
      </c>
      <c r="EP745" s="1394"/>
      <c r="EQ745" s="1394"/>
      <c r="ER745" s="1394"/>
      <c r="ES745" s="1394"/>
      <c r="ET745" s="1394">
        <f t="shared" si="29"/>
        <v>0</v>
      </c>
      <c r="EU745" s="1394"/>
      <c r="EV745" s="1394"/>
      <c r="EW745" s="1394"/>
      <c r="EX745" s="1394"/>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3" customHeight="1">
      <c r="B746" s="1390"/>
      <c r="C746" s="1391"/>
      <c r="D746" s="1391"/>
      <c r="E746" s="1391"/>
      <c r="F746" s="1392"/>
      <c r="G746" s="1427"/>
      <c r="H746" s="1428"/>
      <c r="I746" s="1428"/>
      <c r="J746" s="1429"/>
      <c r="K746" s="1342"/>
      <c r="L746" s="1343"/>
      <c r="M746" s="1343"/>
      <c r="N746" s="1344"/>
      <c r="O746" s="1615"/>
      <c r="P746" s="1616"/>
      <c r="Q746" s="1616"/>
      <c r="R746" s="1616"/>
      <c r="S746" s="1617"/>
      <c r="T746" s="1615"/>
      <c r="U746" s="1616"/>
      <c r="V746" s="1616"/>
      <c r="W746" s="1617"/>
      <c r="X746" s="1373">
        <f t="shared" si="39"/>
        <v>0</v>
      </c>
      <c r="Y746" s="1374"/>
      <c r="Z746" s="1374"/>
      <c r="AA746" s="1374"/>
      <c r="AB746" s="1375"/>
      <c r="AC746" s="1432"/>
      <c r="AD746" s="1433"/>
      <c r="AE746" s="1433"/>
      <c r="AF746" s="1433"/>
      <c r="AG746" s="1434"/>
      <c r="AH746" s="1435" t="str">
        <f t="shared" si="36"/>
        <v/>
      </c>
      <c r="AI746" s="1436"/>
      <c r="AJ746" s="1437"/>
      <c r="AK746" s="1390" t="s">
        <v>591</v>
      </c>
      <c r="AL746" s="1391"/>
      <c r="AM746" s="1391"/>
      <c r="AN746" s="1391"/>
      <c r="AO746" s="1392"/>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5">
        <f t="shared" si="37"/>
        <v>0</v>
      </c>
      <c r="CH746" s="1357"/>
      <c r="CI746" s="1345">
        <f t="shared" si="38"/>
        <v>0</v>
      </c>
      <c r="CJ746" s="1347"/>
      <c r="CK746" s="1355">
        <f t="shared" si="16"/>
        <v>0</v>
      </c>
      <c r="CL746" s="1357"/>
      <c r="CM746" s="1345">
        <f t="shared" si="17"/>
        <v>0</v>
      </c>
      <c r="CN746" s="1347"/>
      <c r="CO746" s="3"/>
      <c r="CP746" s="1339">
        <f t="shared" si="18"/>
        <v>0</v>
      </c>
      <c r="CQ746" s="1340"/>
      <c r="CR746" s="1340"/>
      <c r="CS746" s="1340"/>
      <c r="CT746" s="1341"/>
      <c r="CU746" s="1389">
        <f t="shared" si="19"/>
        <v>0</v>
      </c>
      <c r="CV746" s="1389"/>
      <c r="CW746" s="1389"/>
      <c r="CX746" s="1389"/>
      <c r="CY746" s="1389"/>
      <c r="CZ746" s="1389">
        <f t="shared" si="20"/>
        <v>0</v>
      </c>
      <c r="DA746" s="1389"/>
      <c r="DB746" s="1389"/>
      <c r="DC746" s="1389"/>
      <c r="DD746" s="1389"/>
      <c r="DE746" s="1389">
        <f t="shared" si="21"/>
        <v>0</v>
      </c>
      <c r="DF746" s="1389"/>
      <c r="DG746" s="1389"/>
      <c r="DH746" s="1389"/>
      <c r="DI746" s="1389"/>
      <c r="DJ746" s="1389">
        <f t="shared" si="22"/>
        <v>0</v>
      </c>
      <c r="DK746" s="1389"/>
      <c r="DL746" s="1389"/>
      <c r="DM746" s="1389"/>
      <c r="DN746" s="1389"/>
      <c r="DO746" s="1389">
        <f t="shared" si="23"/>
        <v>0</v>
      </c>
      <c r="DP746" s="1389"/>
      <c r="DQ746" s="1389"/>
      <c r="DR746" s="1389"/>
      <c r="DS746" s="1389"/>
      <c r="DT746" s="6"/>
      <c r="DU746" s="1394">
        <f t="shared" si="24"/>
        <v>0</v>
      </c>
      <c r="DV746" s="1394"/>
      <c r="DW746" s="1394"/>
      <c r="DX746" s="1394"/>
      <c r="DY746" s="1394"/>
      <c r="DZ746" s="1394">
        <f t="shared" si="25"/>
        <v>0</v>
      </c>
      <c r="EA746" s="1394"/>
      <c r="EB746" s="1394"/>
      <c r="EC746" s="1394"/>
      <c r="ED746" s="1394"/>
      <c r="EE746" s="1394">
        <f t="shared" si="26"/>
        <v>0</v>
      </c>
      <c r="EF746" s="1394"/>
      <c r="EG746" s="1394"/>
      <c r="EH746" s="1394"/>
      <c r="EI746" s="1394"/>
      <c r="EJ746" s="1394">
        <f t="shared" si="27"/>
        <v>0</v>
      </c>
      <c r="EK746" s="1394"/>
      <c r="EL746" s="1394"/>
      <c r="EM746" s="1394"/>
      <c r="EN746" s="1394"/>
      <c r="EO746" s="1394">
        <f t="shared" si="28"/>
        <v>0</v>
      </c>
      <c r="EP746" s="1394"/>
      <c r="EQ746" s="1394"/>
      <c r="ER746" s="1394"/>
      <c r="ES746" s="1394"/>
      <c r="ET746" s="1394">
        <f t="shared" si="29"/>
        <v>0</v>
      </c>
      <c r="EU746" s="1394"/>
      <c r="EV746" s="1394"/>
      <c r="EW746" s="1394"/>
      <c r="EX746" s="1394"/>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3" customHeight="1">
      <c r="B747" s="1390"/>
      <c r="C747" s="1391"/>
      <c r="D747" s="1391"/>
      <c r="E747" s="1391"/>
      <c r="F747" s="1392"/>
      <c r="G747" s="1427"/>
      <c r="H747" s="1428"/>
      <c r="I747" s="1428"/>
      <c r="J747" s="1429"/>
      <c r="K747" s="1342"/>
      <c r="L747" s="1343"/>
      <c r="M747" s="1343"/>
      <c r="N747" s="1344"/>
      <c r="O747" s="1615"/>
      <c r="P747" s="1616"/>
      <c r="Q747" s="1616"/>
      <c r="R747" s="1616"/>
      <c r="S747" s="1617"/>
      <c r="T747" s="1615"/>
      <c r="U747" s="1616"/>
      <c r="V747" s="1616"/>
      <c r="W747" s="1617"/>
      <c r="X747" s="1373">
        <f t="shared" si="39"/>
        <v>0</v>
      </c>
      <c r="Y747" s="1374"/>
      <c r="Z747" s="1374"/>
      <c r="AA747" s="1374"/>
      <c r="AB747" s="1375"/>
      <c r="AC747" s="1432"/>
      <c r="AD747" s="1433"/>
      <c r="AE747" s="1433"/>
      <c r="AF747" s="1433"/>
      <c r="AG747" s="1434"/>
      <c r="AH747" s="1435" t="str">
        <f t="shared" si="36"/>
        <v/>
      </c>
      <c r="AI747" s="1436"/>
      <c r="AJ747" s="1437"/>
      <c r="AK747" s="1390" t="s">
        <v>591</v>
      </c>
      <c r="AL747" s="1391"/>
      <c r="AM747" s="1391"/>
      <c r="AN747" s="1391"/>
      <c r="AO747" s="1392"/>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5">
        <f t="shared" si="37"/>
        <v>0</v>
      </c>
      <c r="CH747" s="1357"/>
      <c r="CI747" s="1345">
        <f t="shared" si="38"/>
        <v>0</v>
      </c>
      <c r="CJ747" s="1347"/>
      <c r="CK747" s="1355">
        <f t="shared" si="16"/>
        <v>0</v>
      </c>
      <c r="CL747" s="1357"/>
      <c r="CM747" s="1345">
        <f t="shared" si="17"/>
        <v>0</v>
      </c>
      <c r="CN747" s="1347"/>
      <c r="CO747" s="3"/>
      <c r="CP747" s="1339">
        <f t="shared" si="18"/>
        <v>0</v>
      </c>
      <c r="CQ747" s="1340"/>
      <c r="CR747" s="1340"/>
      <c r="CS747" s="1340"/>
      <c r="CT747" s="1341"/>
      <c r="CU747" s="1389">
        <f t="shared" si="19"/>
        <v>0</v>
      </c>
      <c r="CV747" s="1389"/>
      <c r="CW747" s="1389"/>
      <c r="CX747" s="1389"/>
      <c r="CY747" s="1389"/>
      <c r="CZ747" s="1389">
        <f t="shared" si="20"/>
        <v>0</v>
      </c>
      <c r="DA747" s="1389"/>
      <c r="DB747" s="1389"/>
      <c r="DC747" s="1389"/>
      <c r="DD747" s="1389"/>
      <c r="DE747" s="1389">
        <f t="shared" si="21"/>
        <v>0</v>
      </c>
      <c r="DF747" s="1389"/>
      <c r="DG747" s="1389"/>
      <c r="DH747" s="1389"/>
      <c r="DI747" s="1389"/>
      <c r="DJ747" s="1389">
        <f t="shared" si="22"/>
        <v>0</v>
      </c>
      <c r="DK747" s="1389"/>
      <c r="DL747" s="1389"/>
      <c r="DM747" s="1389"/>
      <c r="DN747" s="1389"/>
      <c r="DO747" s="1389">
        <f t="shared" si="23"/>
        <v>0</v>
      </c>
      <c r="DP747" s="1389"/>
      <c r="DQ747" s="1389"/>
      <c r="DR747" s="1389"/>
      <c r="DS747" s="1389"/>
      <c r="DT747" s="6"/>
      <c r="DU747" s="1394">
        <f t="shared" si="24"/>
        <v>0</v>
      </c>
      <c r="DV747" s="1394"/>
      <c r="DW747" s="1394"/>
      <c r="DX747" s="1394"/>
      <c r="DY747" s="1394"/>
      <c r="DZ747" s="1394">
        <f t="shared" si="25"/>
        <v>0</v>
      </c>
      <c r="EA747" s="1394"/>
      <c r="EB747" s="1394"/>
      <c r="EC747" s="1394"/>
      <c r="ED747" s="1394"/>
      <c r="EE747" s="1394">
        <f t="shared" si="26"/>
        <v>0</v>
      </c>
      <c r="EF747" s="1394"/>
      <c r="EG747" s="1394"/>
      <c r="EH747" s="1394"/>
      <c r="EI747" s="1394"/>
      <c r="EJ747" s="1394">
        <f t="shared" si="27"/>
        <v>0</v>
      </c>
      <c r="EK747" s="1394"/>
      <c r="EL747" s="1394"/>
      <c r="EM747" s="1394"/>
      <c r="EN747" s="1394"/>
      <c r="EO747" s="1394">
        <f t="shared" si="28"/>
        <v>0</v>
      </c>
      <c r="EP747" s="1394"/>
      <c r="EQ747" s="1394"/>
      <c r="ER747" s="1394"/>
      <c r="ES747" s="1394"/>
      <c r="ET747" s="1394">
        <f t="shared" si="29"/>
        <v>0</v>
      </c>
      <c r="EU747" s="1394"/>
      <c r="EV747" s="1394"/>
      <c r="EW747" s="1394"/>
      <c r="EX747" s="1394"/>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3" customHeight="1">
      <c r="A748"/>
      <c r="B748" s="1390"/>
      <c r="C748" s="1391"/>
      <c r="D748" s="1391"/>
      <c r="E748" s="1391"/>
      <c r="F748" s="1392"/>
      <c r="G748" s="1427"/>
      <c r="H748" s="1428"/>
      <c r="I748" s="1428"/>
      <c r="J748" s="1429"/>
      <c r="K748" s="1342"/>
      <c r="L748" s="1343"/>
      <c r="M748" s="1343"/>
      <c r="N748" s="1344"/>
      <c r="O748" s="1615"/>
      <c r="P748" s="1616"/>
      <c r="Q748" s="1616"/>
      <c r="R748" s="1616"/>
      <c r="S748" s="1617"/>
      <c r="T748" s="1615"/>
      <c r="U748" s="1616"/>
      <c r="V748" s="1616"/>
      <c r="W748" s="1617"/>
      <c r="X748" s="1373">
        <f t="shared" si="39"/>
        <v>0</v>
      </c>
      <c r="Y748" s="1374"/>
      <c r="Z748" s="1374"/>
      <c r="AA748" s="1374"/>
      <c r="AB748" s="1375"/>
      <c r="AC748" s="1432"/>
      <c r="AD748" s="1433"/>
      <c r="AE748" s="1433"/>
      <c r="AF748" s="1433"/>
      <c r="AG748" s="1434"/>
      <c r="AH748" s="1435" t="str">
        <f t="shared" si="36"/>
        <v/>
      </c>
      <c r="AI748" s="1436"/>
      <c r="AJ748" s="1437"/>
      <c r="AK748" s="1390" t="s">
        <v>591</v>
      </c>
      <c r="AL748" s="1391"/>
      <c r="AM748" s="1391"/>
      <c r="AN748" s="1391"/>
      <c r="AO748" s="1392"/>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5">
        <f t="shared" si="37"/>
        <v>0</v>
      </c>
      <c r="CH748" s="1357"/>
      <c r="CI748" s="1345">
        <f t="shared" si="38"/>
        <v>0</v>
      </c>
      <c r="CJ748" s="1347"/>
      <c r="CK748" s="1355">
        <f t="shared" si="16"/>
        <v>0</v>
      </c>
      <c r="CL748" s="1357"/>
      <c r="CM748" s="1345">
        <f t="shared" si="17"/>
        <v>0</v>
      </c>
      <c r="CN748" s="1347"/>
      <c r="CP748" s="1339">
        <f t="shared" si="18"/>
        <v>0</v>
      </c>
      <c r="CQ748" s="1340"/>
      <c r="CR748" s="1340"/>
      <c r="CS748" s="1340"/>
      <c r="CT748" s="1341"/>
      <c r="CU748" s="1389">
        <f t="shared" si="19"/>
        <v>0</v>
      </c>
      <c r="CV748" s="1389"/>
      <c r="CW748" s="1389"/>
      <c r="CX748" s="1389"/>
      <c r="CY748" s="1389"/>
      <c r="CZ748" s="1389">
        <f t="shared" si="20"/>
        <v>0</v>
      </c>
      <c r="DA748" s="1389"/>
      <c r="DB748" s="1389"/>
      <c r="DC748" s="1389"/>
      <c r="DD748" s="1389"/>
      <c r="DE748" s="1389">
        <f t="shared" si="21"/>
        <v>0</v>
      </c>
      <c r="DF748" s="1389"/>
      <c r="DG748" s="1389"/>
      <c r="DH748" s="1389"/>
      <c r="DI748" s="1389"/>
      <c r="DJ748" s="1389">
        <f t="shared" si="22"/>
        <v>0</v>
      </c>
      <c r="DK748" s="1389"/>
      <c r="DL748" s="1389"/>
      <c r="DM748" s="1389"/>
      <c r="DN748" s="1389"/>
      <c r="DO748" s="1389">
        <f t="shared" si="23"/>
        <v>0</v>
      </c>
      <c r="DP748" s="1389"/>
      <c r="DQ748" s="1389"/>
      <c r="DR748" s="1389"/>
      <c r="DS748" s="1389"/>
      <c r="DT748" s="6"/>
      <c r="DU748" s="1394">
        <f t="shared" si="24"/>
        <v>0</v>
      </c>
      <c r="DV748" s="1394"/>
      <c r="DW748" s="1394"/>
      <c r="DX748" s="1394"/>
      <c r="DY748" s="1394"/>
      <c r="DZ748" s="1394">
        <f t="shared" si="25"/>
        <v>0</v>
      </c>
      <c r="EA748" s="1394"/>
      <c r="EB748" s="1394"/>
      <c r="EC748" s="1394"/>
      <c r="ED748" s="1394"/>
      <c r="EE748" s="1394">
        <f t="shared" si="26"/>
        <v>0</v>
      </c>
      <c r="EF748" s="1394"/>
      <c r="EG748" s="1394"/>
      <c r="EH748" s="1394"/>
      <c r="EI748" s="1394"/>
      <c r="EJ748" s="1394">
        <f t="shared" si="27"/>
        <v>0</v>
      </c>
      <c r="EK748" s="1394"/>
      <c r="EL748" s="1394"/>
      <c r="EM748" s="1394"/>
      <c r="EN748" s="1394"/>
      <c r="EO748" s="1394">
        <f t="shared" si="28"/>
        <v>0</v>
      </c>
      <c r="EP748" s="1394"/>
      <c r="EQ748" s="1394"/>
      <c r="ER748" s="1394"/>
      <c r="ES748" s="1394"/>
      <c r="ET748" s="1394">
        <f t="shared" si="29"/>
        <v>0</v>
      </c>
      <c r="EU748" s="1394"/>
      <c r="EV748" s="1394"/>
      <c r="EW748" s="1394"/>
      <c r="EX748" s="1394"/>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3" customHeight="1">
      <c r="A749"/>
      <c r="B749" s="1390"/>
      <c r="C749" s="1391"/>
      <c r="D749" s="1391"/>
      <c r="E749" s="1391"/>
      <c r="F749" s="1392"/>
      <c r="G749" s="1427"/>
      <c r="H749" s="1428"/>
      <c r="I749" s="1428"/>
      <c r="J749" s="1429"/>
      <c r="K749" s="1342"/>
      <c r="L749" s="1343"/>
      <c r="M749" s="1343"/>
      <c r="N749" s="1344"/>
      <c r="O749" s="1615"/>
      <c r="P749" s="1616"/>
      <c r="Q749" s="1616"/>
      <c r="R749" s="1616"/>
      <c r="S749" s="1617"/>
      <c r="T749" s="1615"/>
      <c r="U749" s="1616"/>
      <c r="V749" s="1616"/>
      <c r="W749" s="1617"/>
      <c r="X749" s="1373">
        <f t="shared" si="39"/>
        <v>0</v>
      </c>
      <c r="Y749" s="1374"/>
      <c r="Z749" s="1374"/>
      <c r="AA749" s="1374"/>
      <c r="AB749" s="1375"/>
      <c r="AC749" s="1432"/>
      <c r="AD749" s="1433"/>
      <c r="AE749" s="1433"/>
      <c r="AF749" s="1433"/>
      <c r="AG749" s="1434"/>
      <c r="AH749" s="1435" t="str">
        <f t="shared" si="36"/>
        <v/>
      </c>
      <c r="AI749" s="1436"/>
      <c r="AJ749" s="1437"/>
      <c r="AK749" s="1390" t="s">
        <v>591</v>
      </c>
      <c r="AL749" s="1391"/>
      <c r="AM749" s="1391"/>
      <c r="AN749" s="1391"/>
      <c r="AO749" s="1392"/>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5">
        <f t="shared" si="37"/>
        <v>0</v>
      </c>
      <c r="CH749" s="1357"/>
      <c r="CI749" s="1345">
        <f t="shared" si="38"/>
        <v>0</v>
      </c>
      <c r="CJ749" s="1347"/>
      <c r="CK749" s="1355">
        <f t="shared" si="16"/>
        <v>0</v>
      </c>
      <c r="CL749" s="1357"/>
      <c r="CM749" s="1345">
        <f t="shared" si="17"/>
        <v>0</v>
      </c>
      <c r="CN749" s="1347"/>
      <c r="CP749" s="1339">
        <f t="shared" si="18"/>
        <v>0</v>
      </c>
      <c r="CQ749" s="1340"/>
      <c r="CR749" s="1340"/>
      <c r="CS749" s="1340"/>
      <c r="CT749" s="1341"/>
      <c r="CU749" s="1389">
        <f t="shared" si="19"/>
        <v>0</v>
      </c>
      <c r="CV749" s="1389"/>
      <c r="CW749" s="1389"/>
      <c r="CX749" s="1389"/>
      <c r="CY749" s="1389"/>
      <c r="CZ749" s="1389">
        <f t="shared" si="20"/>
        <v>0</v>
      </c>
      <c r="DA749" s="1389"/>
      <c r="DB749" s="1389"/>
      <c r="DC749" s="1389"/>
      <c r="DD749" s="1389"/>
      <c r="DE749" s="1389">
        <f t="shared" si="21"/>
        <v>0</v>
      </c>
      <c r="DF749" s="1389"/>
      <c r="DG749" s="1389"/>
      <c r="DH749" s="1389"/>
      <c r="DI749" s="1389"/>
      <c r="DJ749" s="1389">
        <f t="shared" si="22"/>
        <v>0</v>
      </c>
      <c r="DK749" s="1389"/>
      <c r="DL749" s="1389"/>
      <c r="DM749" s="1389"/>
      <c r="DN749" s="1389"/>
      <c r="DO749" s="1389">
        <f t="shared" si="23"/>
        <v>0</v>
      </c>
      <c r="DP749" s="1389"/>
      <c r="DQ749" s="1389"/>
      <c r="DR749" s="1389"/>
      <c r="DS749" s="1389"/>
      <c r="DT749" s="6"/>
      <c r="DU749" s="1394">
        <f t="shared" si="24"/>
        <v>0</v>
      </c>
      <c r="DV749" s="1394"/>
      <c r="DW749" s="1394"/>
      <c r="DX749" s="1394"/>
      <c r="DY749" s="1394"/>
      <c r="DZ749" s="1394">
        <f t="shared" si="25"/>
        <v>0</v>
      </c>
      <c r="EA749" s="1394"/>
      <c r="EB749" s="1394"/>
      <c r="EC749" s="1394"/>
      <c r="ED749" s="1394"/>
      <c r="EE749" s="1394">
        <f t="shared" si="26"/>
        <v>0</v>
      </c>
      <c r="EF749" s="1394"/>
      <c r="EG749" s="1394"/>
      <c r="EH749" s="1394"/>
      <c r="EI749" s="1394"/>
      <c r="EJ749" s="1394">
        <f t="shared" si="27"/>
        <v>0</v>
      </c>
      <c r="EK749" s="1394"/>
      <c r="EL749" s="1394"/>
      <c r="EM749" s="1394"/>
      <c r="EN749" s="1394"/>
      <c r="EO749" s="1394">
        <f t="shared" si="28"/>
        <v>0</v>
      </c>
      <c r="EP749" s="1394"/>
      <c r="EQ749" s="1394"/>
      <c r="ER749" s="1394"/>
      <c r="ES749" s="1394"/>
      <c r="ET749" s="1394">
        <f t="shared" si="29"/>
        <v>0</v>
      </c>
      <c r="EU749" s="1394"/>
      <c r="EV749" s="1394"/>
      <c r="EW749" s="1394"/>
      <c r="EX749" s="1394"/>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3" customHeight="1">
      <c r="A750"/>
      <c r="B750" s="1390"/>
      <c r="C750" s="1391"/>
      <c r="D750" s="1391"/>
      <c r="E750" s="1391"/>
      <c r="F750" s="1392"/>
      <c r="G750" s="1427"/>
      <c r="H750" s="1428"/>
      <c r="I750" s="1428"/>
      <c r="J750" s="1429"/>
      <c r="K750" s="1342"/>
      <c r="L750" s="1343"/>
      <c r="M750" s="1343"/>
      <c r="N750" s="1344"/>
      <c r="O750" s="1615"/>
      <c r="P750" s="1616"/>
      <c r="Q750" s="1616"/>
      <c r="R750" s="1616"/>
      <c r="S750" s="1617"/>
      <c r="T750" s="1615"/>
      <c r="U750" s="1616"/>
      <c r="V750" s="1616"/>
      <c r="W750" s="1617"/>
      <c r="X750" s="1373">
        <f t="shared" si="39"/>
        <v>0</v>
      </c>
      <c r="Y750" s="1374"/>
      <c r="Z750" s="1374"/>
      <c r="AA750" s="1374"/>
      <c r="AB750" s="1375"/>
      <c r="AC750" s="1432"/>
      <c r="AD750" s="1433"/>
      <c r="AE750" s="1433"/>
      <c r="AF750" s="1433"/>
      <c r="AG750" s="1434"/>
      <c r="AH750" s="1435" t="str">
        <f t="shared" si="36"/>
        <v/>
      </c>
      <c r="AI750" s="1436"/>
      <c r="AJ750" s="1437"/>
      <c r="AK750" s="1390" t="s">
        <v>591</v>
      </c>
      <c r="AL750" s="1391"/>
      <c r="AM750" s="1391"/>
      <c r="AN750" s="1391"/>
      <c r="AO750" s="139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5">
        <f t="shared" si="37"/>
        <v>0</v>
      </c>
      <c r="CH750" s="1357"/>
      <c r="CI750" s="1345">
        <f t="shared" si="38"/>
        <v>0</v>
      </c>
      <c r="CJ750" s="1347"/>
      <c r="CK750" s="1355">
        <f t="shared" si="16"/>
        <v>0</v>
      </c>
      <c r="CL750" s="1357"/>
      <c r="CM750" s="1345">
        <f t="shared" si="17"/>
        <v>0</v>
      </c>
      <c r="CN750" s="1347"/>
      <c r="CP750" s="1339">
        <f t="shared" si="18"/>
        <v>0</v>
      </c>
      <c r="CQ750" s="1340"/>
      <c r="CR750" s="1340"/>
      <c r="CS750" s="1340"/>
      <c r="CT750" s="1341"/>
      <c r="CU750" s="1389">
        <f t="shared" si="19"/>
        <v>0</v>
      </c>
      <c r="CV750" s="1389"/>
      <c r="CW750" s="1389"/>
      <c r="CX750" s="1389"/>
      <c r="CY750" s="1389"/>
      <c r="CZ750" s="1389">
        <f t="shared" si="20"/>
        <v>0</v>
      </c>
      <c r="DA750" s="1389"/>
      <c r="DB750" s="1389"/>
      <c r="DC750" s="1389"/>
      <c r="DD750" s="1389"/>
      <c r="DE750" s="1389">
        <f t="shared" si="21"/>
        <v>0</v>
      </c>
      <c r="DF750" s="1389"/>
      <c r="DG750" s="1389"/>
      <c r="DH750" s="1389"/>
      <c r="DI750" s="1389"/>
      <c r="DJ750" s="1389">
        <f t="shared" si="22"/>
        <v>0</v>
      </c>
      <c r="DK750" s="1389"/>
      <c r="DL750" s="1389"/>
      <c r="DM750" s="1389"/>
      <c r="DN750" s="1389"/>
      <c r="DO750" s="1389">
        <f t="shared" si="23"/>
        <v>0</v>
      </c>
      <c r="DP750" s="1389"/>
      <c r="DQ750" s="1389"/>
      <c r="DR750" s="1389"/>
      <c r="DS750" s="1389"/>
      <c r="DT750" s="6"/>
      <c r="DU750" s="1394">
        <f t="shared" si="24"/>
        <v>0</v>
      </c>
      <c r="DV750" s="1394"/>
      <c r="DW750" s="1394"/>
      <c r="DX750" s="1394"/>
      <c r="DY750" s="1394"/>
      <c r="DZ750" s="1394">
        <f t="shared" si="25"/>
        <v>0</v>
      </c>
      <c r="EA750" s="1394"/>
      <c r="EB750" s="1394"/>
      <c r="EC750" s="1394"/>
      <c r="ED750" s="1394"/>
      <c r="EE750" s="1394">
        <f t="shared" si="26"/>
        <v>0</v>
      </c>
      <c r="EF750" s="1394"/>
      <c r="EG750" s="1394"/>
      <c r="EH750" s="1394"/>
      <c r="EI750" s="1394"/>
      <c r="EJ750" s="1394">
        <f t="shared" si="27"/>
        <v>0</v>
      </c>
      <c r="EK750" s="1394"/>
      <c r="EL750" s="1394"/>
      <c r="EM750" s="1394"/>
      <c r="EN750" s="1394"/>
      <c r="EO750" s="1394">
        <f t="shared" si="28"/>
        <v>0</v>
      </c>
      <c r="EP750" s="1394"/>
      <c r="EQ750" s="1394"/>
      <c r="ER750" s="1394"/>
      <c r="ES750" s="1394"/>
      <c r="ET750" s="1394">
        <f t="shared" si="29"/>
        <v>0</v>
      </c>
      <c r="EU750" s="1394"/>
      <c r="EV750" s="1394"/>
      <c r="EW750" s="1394"/>
      <c r="EX750" s="1394"/>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3" customHeight="1">
      <c r="A751"/>
      <c r="B751" s="1390"/>
      <c r="C751" s="1391"/>
      <c r="D751" s="1391"/>
      <c r="E751" s="1391"/>
      <c r="F751" s="1392"/>
      <c r="G751" s="1427"/>
      <c r="H751" s="1428"/>
      <c r="I751" s="1428"/>
      <c r="J751" s="1429"/>
      <c r="K751" s="1342"/>
      <c r="L751" s="1343"/>
      <c r="M751" s="1343"/>
      <c r="N751" s="1344"/>
      <c r="O751" s="1615"/>
      <c r="P751" s="1616"/>
      <c r="Q751" s="1616"/>
      <c r="R751" s="1616"/>
      <c r="S751" s="1617"/>
      <c r="T751" s="1615"/>
      <c r="U751" s="1616"/>
      <c r="V751" s="1616"/>
      <c r="W751" s="1617"/>
      <c r="X751" s="1373">
        <f t="shared" si="39"/>
        <v>0</v>
      </c>
      <c r="Y751" s="1374"/>
      <c r="Z751" s="1374"/>
      <c r="AA751" s="1374"/>
      <c r="AB751" s="1375"/>
      <c r="AC751" s="1432"/>
      <c r="AD751" s="1433"/>
      <c r="AE751" s="1433"/>
      <c r="AF751" s="1433"/>
      <c r="AG751" s="1434"/>
      <c r="AH751" s="1435" t="str">
        <f t="shared" si="36"/>
        <v/>
      </c>
      <c r="AI751" s="1436"/>
      <c r="AJ751" s="1437"/>
      <c r="AK751" s="1390" t="s">
        <v>591</v>
      </c>
      <c r="AL751" s="1391"/>
      <c r="AM751" s="1391"/>
      <c r="AN751" s="1391"/>
      <c r="AO751" s="139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5">
        <f t="shared" si="37"/>
        <v>0</v>
      </c>
      <c r="CH751" s="1357"/>
      <c r="CI751" s="1345">
        <f t="shared" si="38"/>
        <v>0</v>
      </c>
      <c r="CJ751" s="1347"/>
      <c r="CK751" s="1355">
        <f t="shared" si="16"/>
        <v>0</v>
      </c>
      <c r="CL751" s="1357"/>
      <c r="CM751" s="1345">
        <f t="shared" si="17"/>
        <v>0</v>
      </c>
      <c r="CN751" s="1347"/>
      <c r="CP751" s="1339">
        <f t="shared" si="18"/>
        <v>0</v>
      </c>
      <c r="CQ751" s="1340"/>
      <c r="CR751" s="1340"/>
      <c r="CS751" s="1340"/>
      <c r="CT751" s="1341"/>
      <c r="CU751" s="1389">
        <f t="shared" si="19"/>
        <v>0</v>
      </c>
      <c r="CV751" s="1389"/>
      <c r="CW751" s="1389"/>
      <c r="CX751" s="1389"/>
      <c r="CY751" s="1389"/>
      <c r="CZ751" s="1389">
        <f t="shared" si="20"/>
        <v>0</v>
      </c>
      <c r="DA751" s="1389"/>
      <c r="DB751" s="1389"/>
      <c r="DC751" s="1389"/>
      <c r="DD751" s="1389"/>
      <c r="DE751" s="1389">
        <f t="shared" si="21"/>
        <v>0</v>
      </c>
      <c r="DF751" s="1389"/>
      <c r="DG751" s="1389"/>
      <c r="DH751" s="1389"/>
      <c r="DI751" s="1389"/>
      <c r="DJ751" s="1389">
        <f t="shared" si="22"/>
        <v>0</v>
      </c>
      <c r="DK751" s="1389"/>
      <c r="DL751" s="1389"/>
      <c r="DM751" s="1389"/>
      <c r="DN751" s="1389"/>
      <c r="DO751" s="1389">
        <f t="shared" si="23"/>
        <v>0</v>
      </c>
      <c r="DP751" s="1389"/>
      <c r="DQ751" s="1389"/>
      <c r="DR751" s="1389"/>
      <c r="DS751" s="1389"/>
      <c r="DT751" s="6"/>
      <c r="DU751" s="1394">
        <f t="shared" si="24"/>
        <v>0</v>
      </c>
      <c r="DV751" s="1394"/>
      <c r="DW751" s="1394"/>
      <c r="DX751" s="1394"/>
      <c r="DY751" s="1394"/>
      <c r="DZ751" s="1394">
        <f t="shared" si="25"/>
        <v>0</v>
      </c>
      <c r="EA751" s="1394"/>
      <c r="EB751" s="1394"/>
      <c r="EC751" s="1394"/>
      <c r="ED751" s="1394"/>
      <c r="EE751" s="1394">
        <f t="shared" si="26"/>
        <v>0</v>
      </c>
      <c r="EF751" s="1394"/>
      <c r="EG751" s="1394"/>
      <c r="EH751" s="1394"/>
      <c r="EI751" s="1394"/>
      <c r="EJ751" s="1394">
        <f t="shared" si="27"/>
        <v>0</v>
      </c>
      <c r="EK751" s="1394"/>
      <c r="EL751" s="1394"/>
      <c r="EM751" s="1394"/>
      <c r="EN751" s="1394"/>
      <c r="EO751" s="1394">
        <f t="shared" si="28"/>
        <v>0</v>
      </c>
      <c r="EP751" s="1394"/>
      <c r="EQ751" s="1394"/>
      <c r="ER751" s="1394"/>
      <c r="ES751" s="1394"/>
      <c r="ET751" s="1394">
        <f t="shared" si="29"/>
        <v>0</v>
      </c>
      <c r="EU751" s="1394"/>
      <c r="EV751" s="1394"/>
      <c r="EW751" s="1394"/>
      <c r="EX751" s="1394"/>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3" customHeight="1">
      <c r="A752"/>
      <c r="B752" s="1390"/>
      <c r="C752" s="1391"/>
      <c r="D752" s="1391"/>
      <c r="E752" s="1391"/>
      <c r="F752" s="1392"/>
      <c r="G752" s="1427"/>
      <c r="H752" s="1428"/>
      <c r="I752" s="1428"/>
      <c r="J752" s="1429"/>
      <c r="K752" s="1342"/>
      <c r="L752" s="1343"/>
      <c r="M752" s="1343"/>
      <c r="N752" s="1344"/>
      <c r="O752" s="1615"/>
      <c r="P752" s="1616"/>
      <c r="Q752" s="1616"/>
      <c r="R752" s="1616"/>
      <c r="S752" s="1617"/>
      <c r="T752" s="1615"/>
      <c r="U752" s="1616"/>
      <c r="V752" s="1616"/>
      <c r="W752" s="1617"/>
      <c r="X752" s="1373">
        <f>O752+T752</f>
        <v>0</v>
      </c>
      <c r="Y752" s="1374"/>
      <c r="Z752" s="1374"/>
      <c r="AA752" s="1374"/>
      <c r="AB752" s="1375"/>
      <c r="AC752" s="1432"/>
      <c r="AD752" s="1433"/>
      <c r="AE752" s="1433"/>
      <c r="AF752" s="1433"/>
      <c r="AG752" s="1434"/>
      <c r="AH752" s="1435" t="str">
        <f t="shared" si="36"/>
        <v/>
      </c>
      <c r="AI752" s="1436"/>
      <c r="AJ752" s="1437"/>
      <c r="AK752" s="1390" t="s">
        <v>591</v>
      </c>
      <c r="AL752" s="1391"/>
      <c r="AM752" s="1391"/>
      <c r="AN752" s="1391"/>
      <c r="AO752" s="139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5">
        <f t="shared" si="37"/>
        <v>0</v>
      </c>
      <c r="CH752" s="1357"/>
      <c r="CI752" s="1345">
        <f t="shared" si="38"/>
        <v>0</v>
      </c>
      <c r="CJ752" s="1347"/>
      <c r="CK752" s="1355">
        <f t="shared" si="16"/>
        <v>0</v>
      </c>
      <c r="CL752" s="1357"/>
      <c r="CM752" s="1345">
        <f t="shared" si="17"/>
        <v>0</v>
      </c>
      <c r="CN752" s="1347"/>
      <c r="CP752" s="1339">
        <f t="shared" si="18"/>
        <v>0</v>
      </c>
      <c r="CQ752" s="1340"/>
      <c r="CR752" s="1340"/>
      <c r="CS752" s="1340"/>
      <c r="CT752" s="1341"/>
      <c r="CU752" s="1389">
        <f t="shared" si="19"/>
        <v>0</v>
      </c>
      <c r="CV752" s="1389"/>
      <c r="CW752" s="1389"/>
      <c r="CX752" s="1389"/>
      <c r="CY752" s="1389"/>
      <c r="CZ752" s="1389">
        <f t="shared" si="20"/>
        <v>0</v>
      </c>
      <c r="DA752" s="1389"/>
      <c r="DB752" s="1389"/>
      <c r="DC752" s="1389"/>
      <c r="DD752" s="1389"/>
      <c r="DE752" s="1389">
        <f t="shared" si="21"/>
        <v>0</v>
      </c>
      <c r="DF752" s="1389"/>
      <c r="DG752" s="1389"/>
      <c r="DH752" s="1389"/>
      <c r="DI752" s="1389"/>
      <c r="DJ752" s="1389">
        <f t="shared" si="22"/>
        <v>0</v>
      </c>
      <c r="DK752" s="1389"/>
      <c r="DL752" s="1389"/>
      <c r="DM752" s="1389"/>
      <c r="DN752" s="1389"/>
      <c r="DO752" s="1389">
        <f t="shared" si="23"/>
        <v>0</v>
      </c>
      <c r="DP752" s="1389"/>
      <c r="DQ752" s="1389"/>
      <c r="DR752" s="1389"/>
      <c r="DS752" s="1389"/>
      <c r="DT752" s="6"/>
      <c r="DU752" s="1394">
        <f t="shared" si="24"/>
        <v>0</v>
      </c>
      <c r="DV752" s="1394"/>
      <c r="DW752" s="1394"/>
      <c r="DX752" s="1394"/>
      <c r="DY752" s="1394"/>
      <c r="DZ752" s="1394">
        <f t="shared" si="25"/>
        <v>0</v>
      </c>
      <c r="EA752" s="1394"/>
      <c r="EB752" s="1394"/>
      <c r="EC752" s="1394"/>
      <c r="ED752" s="1394"/>
      <c r="EE752" s="1394">
        <f t="shared" si="26"/>
        <v>0</v>
      </c>
      <c r="EF752" s="1394"/>
      <c r="EG752" s="1394"/>
      <c r="EH752" s="1394"/>
      <c r="EI752" s="1394"/>
      <c r="EJ752" s="1394">
        <f t="shared" si="27"/>
        <v>0</v>
      </c>
      <c r="EK752" s="1394"/>
      <c r="EL752" s="1394"/>
      <c r="EM752" s="1394"/>
      <c r="EN752" s="1394"/>
      <c r="EO752" s="1394">
        <f t="shared" si="28"/>
        <v>0</v>
      </c>
      <c r="EP752" s="1394"/>
      <c r="EQ752" s="1394"/>
      <c r="ER752" s="1394"/>
      <c r="ES752" s="1394"/>
      <c r="ET752" s="1394">
        <f t="shared" si="29"/>
        <v>0</v>
      </c>
      <c r="EU752" s="1394"/>
      <c r="EV752" s="1394"/>
      <c r="EW752" s="1394"/>
      <c r="EX752" s="1394"/>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3" customHeight="1">
      <c r="A753"/>
      <c r="B753" s="1336" t="s">
        <v>125</v>
      </c>
      <c r="C753" s="1337"/>
      <c r="D753" s="1337"/>
      <c r="E753" s="1337"/>
      <c r="F753" s="1338"/>
      <c r="G753" s="1733">
        <f>SUM(G718:G752)</f>
        <v>198</v>
      </c>
      <c r="H753" s="1734"/>
      <c r="I753" s="1734"/>
      <c r="J753" s="1735"/>
      <c r="K753" s="902" t="s">
        <v>124</v>
      </c>
      <c r="L753" s="5"/>
      <c r="M753" s="5"/>
      <c r="N753" s="46"/>
      <c r="O753" s="1373">
        <f>SUMPRODUCT(G718:G752,O718:O752)</f>
        <v>390696</v>
      </c>
      <c r="P753" s="1374"/>
      <c r="Q753" s="1374"/>
      <c r="R753" s="1374"/>
      <c r="S753" s="1375"/>
      <c r="T753"/>
      <c r="U753"/>
      <c r="V753"/>
      <c r="W753"/>
      <c r="X753" s="904" t="s">
        <v>900</v>
      </c>
      <c r="Y753" s="903"/>
      <c r="Z753" s="903"/>
      <c r="AA753" s="903"/>
      <c r="AB753" s="905"/>
      <c r="AC753" s="1625">
        <f>BH753</f>
        <v>0.59696969696969693</v>
      </c>
      <c r="AD753" s="1626"/>
      <c r="AE753" s="1626"/>
      <c r="AF753" s="1626"/>
      <c r="AG753" s="1627"/>
      <c r="AH753" s="1625">
        <f>IFERROR(BU753,"")</f>
        <v>0.59700120057940165</v>
      </c>
      <c r="AI753" s="1626"/>
      <c r="AJ753" s="1627"/>
      <c r="AK753"/>
      <c r="AL753"/>
      <c r="AM753"/>
      <c r="AN753"/>
      <c r="AO753"/>
      <c r="AP753" s="205"/>
      <c r="AQ753" s="205"/>
      <c r="AR753" s="205"/>
      <c r="AS753" s="205"/>
      <c r="AT753"/>
      <c r="AU753"/>
      <c r="AV753"/>
      <c r="AW753"/>
      <c r="AX753"/>
      <c r="AY753"/>
      <c r="AZ753" s="34"/>
      <c r="BA753" s="34"/>
      <c r="BB753" s="34"/>
      <c r="BC753" s="34"/>
      <c r="BE753" s="290" t="s">
        <v>899</v>
      </c>
      <c r="BF753" s="299">
        <f>SUM(BF718:BF752)</f>
        <v>198</v>
      </c>
      <c r="BG753" s="300">
        <f>SUM(BG718:BG752)</f>
        <v>1</v>
      </c>
      <c r="BH753" s="300">
        <f>SUM(BH718:BH752)</f>
        <v>0.59696969696969693</v>
      </c>
      <c r="BI753"/>
      <c r="BJ753"/>
      <c r="BK753"/>
      <c r="BL753"/>
      <c r="BO753"/>
      <c r="BP753"/>
      <c r="BQ753"/>
      <c r="BR753"/>
      <c r="BS753" s="859">
        <f>SUM(BS718:BS752)</f>
        <v>198</v>
      </c>
      <c r="BT753" s="300">
        <f>SUM(BT718:BT752)</f>
        <v>1</v>
      </c>
      <c r="BU753" s="300">
        <f>SUM(BU718:BU752)</f>
        <v>0.59700120057940165</v>
      </c>
      <c r="CI753" s="1355">
        <f>SUM(CI718:CJ752)</f>
        <v>20</v>
      </c>
      <c r="CJ753" s="1357"/>
      <c r="CM753" s="1355">
        <f>SUM(CM718:CN752)</f>
        <v>20</v>
      </c>
      <c r="CN753" s="1357"/>
      <c r="CP753" s="1355">
        <f>SUM(CP718:CT752)</f>
        <v>0</v>
      </c>
      <c r="CQ753" s="1356"/>
      <c r="CR753" s="1356"/>
      <c r="CS753" s="1356"/>
      <c r="CT753" s="1357"/>
      <c r="CU753" s="1393">
        <f>SUM(CU718:CY752)</f>
        <v>132</v>
      </c>
      <c r="CV753" s="1393"/>
      <c r="CW753" s="1393"/>
      <c r="CX753" s="1393"/>
      <c r="CY753" s="1393"/>
      <c r="CZ753" s="1393">
        <f>SUM(CZ718:DD752)</f>
        <v>66</v>
      </c>
      <c r="DA753" s="1393"/>
      <c r="DB753" s="1393"/>
      <c r="DC753" s="1393"/>
      <c r="DD753" s="1393"/>
      <c r="DE753" s="1393">
        <f>SUM(DE718:DI752)</f>
        <v>0</v>
      </c>
      <c r="DF753" s="1393"/>
      <c r="DG753" s="1393"/>
      <c r="DH753" s="1393"/>
      <c r="DI753" s="1393"/>
      <c r="DJ753" s="1393">
        <f>SUM(DJ718:DN752)</f>
        <v>0</v>
      </c>
      <c r="DK753" s="1393"/>
      <c r="DL753" s="1393"/>
      <c r="DM753" s="1393"/>
      <c r="DN753" s="1393"/>
      <c r="DO753" s="1393">
        <f>SUM(DO718:DS752)</f>
        <v>0</v>
      </c>
      <c r="DP753" s="1393"/>
      <c r="DQ753" s="1393"/>
      <c r="DR753" s="1393"/>
      <c r="DS753" s="1393"/>
      <c r="DT753" s="354"/>
      <c r="DU753" s="1393">
        <f>SUM(DU718:DY752)</f>
        <v>0</v>
      </c>
      <c r="DV753" s="1393"/>
      <c r="DW753" s="1393"/>
      <c r="DX753" s="1393"/>
      <c r="DY753" s="1393"/>
      <c r="DZ753" s="1393">
        <f>SUM(DZ718:ED752)</f>
        <v>13</v>
      </c>
      <c r="EA753" s="1393"/>
      <c r="EB753" s="1393"/>
      <c r="EC753" s="1393"/>
      <c r="ED753" s="1393"/>
      <c r="EE753" s="1393">
        <f>SUM(EE718:EI752)</f>
        <v>7</v>
      </c>
      <c r="EF753" s="1393"/>
      <c r="EG753" s="1393"/>
      <c r="EH753" s="1393"/>
      <c r="EI753" s="1393"/>
      <c r="EJ753" s="1393">
        <f>SUM(EJ718:EN752)</f>
        <v>0</v>
      </c>
      <c r="EK753" s="1393"/>
      <c r="EL753" s="1393"/>
      <c r="EM753" s="1393"/>
      <c r="EN753" s="1393"/>
      <c r="EO753" s="1393">
        <f>SUM(EO718:ES752)</f>
        <v>0</v>
      </c>
      <c r="EP753" s="1393"/>
      <c r="EQ753" s="1393"/>
      <c r="ER753" s="1393"/>
      <c r="ES753" s="1393"/>
      <c r="ET753" s="1393">
        <f>SUM(ET718:EX752)</f>
        <v>0</v>
      </c>
      <c r="EU753" s="1393"/>
      <c r="EV753" s="1393"/>
      <c r="EW753" s="1393"/>
      <c r="EX753" s="1393"/>
      <c r="EY753"/>
      <c r="EZ753" s="1393">
        <f>SUM(EZ718:FD752)</f>
        <v>0</v>
      </c>
      <c r="FA753" s="1393"/>
      <c r="FB753" s="1393"/>
      <c r="FC753" s="1393"/>
      <c r="FD753" s="1393"/>
      <c r="FE753" s="1393">
        <f>SUM(FE718:FI752)</f>
        <v>6821</v>
      </c>
      <c r="FF753" s="1393"/>
      <c r="FG753" s="1393"/>
      <c r="FH753" s="1393"/>
      <c r="FI753" s="1393"/>
      <c r="FJ753" s="1393">
        <f>SUM(FJ718:FN752)</f>
        <v>8188</v>
      </c>
      <c r="FK753" s="1393"/>
      <c r="FL753" s="1393"/>
      <c r="FM753" s="1393"/>
      <c r="FN753" s="1393"/>
      <c r="FO753" s="1393">
        <f>SUM(FO718:FS752)</f>
        <v>0</v>
      </c>
      <c r="FP753" s="1393"/>
      <c r="FQ753" s="1393"/>
      <c r="FR753" s="1393"/>
      <c r="FS753" s="1393"/>
      <c r="FT753" s="1393">
        <f>SUM(FT718:FX752)</f>
        <v>0</v>
      </c>
      <c r="FU753" s="1393"/>
      <c r="FV753" s="1393"/>
      <c r="FW753" s="1393"/>
      <c r="FX753" s="1393"/>
      <c r="FY753" s="1393">
        <f>SUM(FY718:GC752)</f>
        <v>0</v>
      </c>
      <c r="FZ753" s="1393"/>
      <c r="GA753" s="1393"/>
      <c r="GB753" s="1393"/>
      <c r="GC753" s="1393"/>
    </row>
    <row r="754" spans="1:185" s="3" customFormat="1" ht="13" customHeight="1">
      <c r="A754"/>
      <c r="B754" s="1628" t="s">
        <v>1893</v>
      </c>
      <c r="C754" s="1628"/>
      <c r="D754" s="1628"/>
      <c r="E754" s="1628"/>
      <c r="F754" s="1628"/>
      <c r="G754" s="1628"/>
      <c r="H754" s="1628"/>
      <c r="I754" s="1628"/>
      <c r="J754" s="1628"/>
      <c r="K754" s="1628"/>
      <c r="L754" s="1628"/>
      <c r="M754" s="1628"/>
      <c r="N754" s="1628"/>
      <c r="O754" s="1628"/>
      <c r="P754" s="1628"/>
      <c r="Q754" s="1628"/>
      <c r="R754" s="1628"/>
      <c r="S754" s="1628"/>
      <c r="T754" s="1628"/>
      <c r="U754" s="1628"/>
      <c r="V754" s="1628"/>
      <c r="W754" s="1628"/>
      <c r="X754" s="1628"/>
      <c r="Y754" s="1628"/>
      <c r="Z754" s="1628"/>
      <c r="AA754" s="1628"/>
      <c r="AB754" s="1628"/>
      <c r="AC754" s="1628"/>
      <c r="AD754" s="1628"/>
      <c r="AE754" s="1628"/>
      <c r="AF754" s="1628"/>
      <c r="AG754" s="1628"/>
      <c r="AH754" s="1628"/>
      <c r="AI754"/>
      <c r="AJ754"/>
      <c r="AK754"/>
      <c r="AT754"/>
      <c r="AU754"/>
      <c r="AV754"/>
      <c r="AW754"/>
      <c r="AX754"/>
      <c r="AY754"/>
      <c r="CD754"/>
      <c r="DN754" s="56" t="s">
        <v>1860</v>
      </c>
      <c r="DO754" s="1355">
        <f>CP753+CU753+CZ753+DE753+DJ753+DO753</f>
        <v>198</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8"/>
      <c r="C755" s="1628"/>
      <c r="D755" s="1628"/>
      <c r="E755" s="1628"/>
      <c r="F755" s="1628"/>
      <c r="G755" s="1628"/>
      <c r="H755" s="1628"/>
      <c r="I755" s="1628"/>
      <c r="J755" s="1628"/>
      <c r="K755" s="1628"/>
      <c r="L755" s="1628"/>
      <c r="M755" s="1628"/>
      <c r="N755" s="1628"/>
      <c r="O755" s="1628"/>
      <c r="P755" s="1628"/>
      <c r="Q755" s="1628"/>
      <c r="R755" s="1628"/>
      <c r="S755" s="1628"/>
      <c r="T755" s="1628"/>
      <c r="U755" s="1628"/>
      <c r="V755" s="1628"/>
      <c r="W755" s="1628"/>
      <c r="X755" s="1628"/>
      <c r="Y755" s="1628"/>
      <c r="Z755" s="1628"/>
      <c r="AA755" s="1628"/>
      <c r="AB755" s="1628"/>
      <c r="AC755" s="1628"/>
      <c r="AD755" s="1628"/>
      <c r="AE755" s="1628"/>
      <c r="AF755" s="1628"/>
      <c r="AG755" s="1628"/>
      <c r="AH755" s="16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132</v>
      </c>
      <c r="CZ755" s="3"/>
      <c r="DA755" s="3"/>
      <c r="DB755" s="3"/>
      <c r="DC755" s="3"/>
      <c r="DD755" s="861">
        <f>CZ753*2</f>
        <v>132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264</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93">
        <f>DU755</f>
        <v>264</v>
      </c>
      <c r="P756" s="1393"/>
      <c r="Q756" s="1393"/>
      <c r="R756" s="1393"/>
      <c r="S756" s="969"/>
      <c r="T756" s="969"/>
      <c r="U756" s="118" t="s">
        <v>1892</v>
      </c>
      <c r="V756" s="1032"/>
      <c r="W756" s="1032"/>
      <c r="X756" s="1032"/>
      <c r="Y756" s="1033"/>
      <c r="Z756" s="1033"/>
      <c r="AA756" s="1033"/>
      <c r="AB756" s="1033"/>
      <c r="AC756" s="1032"/>
      <c r="AD756" s="1032"/>
      <c r="AE756" s="1032"/>
      <c r="AF756" s="1032"/>
      <c r="AG756" s="1732"/>
      <c r="AH756" s="1732"/>
      <c r="AI756" s="1732"/>
      <c r="AJ756" s="173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0" t="s">
        <v>591</v>
      </c>
      <c r="AE759" s="1620"/>
      <c r="AF759" s="16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08" t="s">
        <v>389</v>
      </c>
      <c r="K769" s="1600"/>
      <c r="L769" s="1600"/>
      <c r="M769" s="1600"/>
      <c r="N769" s="1601"/>
      <c r="O769" s="1621" t="s">
        <v>285</v>
      </c>
      <c r="P769" s="1621"/>
      <c r="Q769" s="1621"/>
      <c r="R769" s="1621"/>
      <c r="S769" s="1621"/>
      <c r="T769" s="1609" t="s">
        <v>1679</v>
      </c>
      <c r="U769" s="1610"/>
      <c r="V769" s="1610"/>
      <c r="W769" s="1611"/>
      <c r="X769" s="1608" t="s">
        <v>447</v>
      </c>
      <c r="Y769" s="1600"/>
      <c r="Z769" s="1600"/>
      <c r="AA769" s="1600"/>
      <c r="AB769" s="1601"/>
      <c r="AC769" s="1608" t="s">
        <v>286</v>
      </c>
      <c r="AD769" s="1600"/>
      <c r="AE769" s="1600"/>
      <c r="AF769" s="1600"/>
      <c r="AG769" s="16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602"/>
      <c r="K770" s="1603"/>
      <c r="L770" s="1603"/>
      <c r="M770" s="1603"/>
      <c r="N770" s="1604"/>
      <c r="O770" s="1621"/>
      <c r="P770" s="1621"/>
      <c r="Q770" s="1621"/>
      <c r="R770" s="1621"/>
      <c r="S770" s="1621"/>
      <c r="T770" s="1612"/>
      <c r="U770" s="1613"/>
      <c r="V770" s="1613"/>
      <c r="W770" s="1614"/>
      <c r="X770" s="1602"/>
      <c r="Y770" s="1603"/>
      <c r="Z770" s="1603"/>
      <c r="AA770" s="1603"/>
      <c r="AB770" s="1604"/>
      <c r="AC770" s="1602"/>
      <c r="AD770" s="1603"/>
      <c r="AE770" s="1603"/>
      <c r="AF770" s="1603"/>
      <c r="AG770" s="16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602"/>
      <c r="K771" s="1603"/>
      <c r="L771" s="1603"/>
      <c r="M771" s="1603"/>
      <c r="N771" s="1604"/>
      <c r="O771" s="1621"/>
      <c r="P771" s="1621"/>
      <c r="Q771" s="1621"/>
      <c r="R771" s="1621"/>
      <c r="S771" s="1621"/>
      <c r="T771" s="1612"/>
      <c r="U771" s="1613"/>
      <c r="V771" s="1613"/>
      <c r="W771" s="1614"/>
      <c r="X771" s="1602"/>
      <c r="Y771" s="1603"/>
      <c r="Z771" s="1603"/>
      <c r="AA771" s="1603"/>
      <c r="AB771" s="1604"/>
      <c r="AC771" s="1602"/>
      <c r="AD771" s="1603"/>
      <c r="AE771" s="1603"/>
      <c r="AF771" s="1603"/>
      <c r="AG771" s="16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605"/>
      <c r="K772" s="1606"/>
      <c r="L772" s="1606"/>
      <c r="M772" s="1606"/>
      <c r="N772" s="1607"/>
      <c r="O772" s="1621"/>
      <c r="P772" s="1621"/>
      <c r="Q772" s="1621"/>
      <c r="R772" s="1621"/>
      <c r="S772" s="1621"/>
      <c r="T772" s="1622"/>
      <c r="U772" s="1623"/>
      <c r="V772" s="1623"/>
      <c r="W772" s="1624"/>
      <c r="X772" s="1605"/>
      <c r="Y772" s="1606"/>
      <c r="Z772" s="1606"/>
      <c r="AA772" s="1606"/>
      <c r="AB772" s="1607"/>
      <c r="AC772" s="1605"/>
      <c r="AD772" s="1606"/>
      <c r="AE772" s="1606"/>
      <c r="AF772" s="1606"/>
      <c r="AG772" s="16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90" t="s">
        <v>325</v>
      </c>
      <c r="K773" s="1391"/>
      <c r="L773" s="1391"/>
      <c r="M773" s="1391"/>
      <c r="N773" s="1392"/>
      <c r="O773" s="1517">
        <v>2</v>
      </c>
      <c r="P773" s="1517"/>
      <c r="Q773" s="1517"/>
      <c r="R773" s="1517"/>
      <c r="S773" s="1517"/>
      <c r="T773" s="1342">
        <v>554</v>
      </c>
      <c r="U773" s="1343"/>
      <c r="V773" s="1343"/>
      <c r="W773" s="1344"/>
      <c r="X773" s="1615">
        <v>1735</v>
      </c>
      <c r="Y773" s="1616"/>
      <c r="Z773" s="1616"/>
      <c r="AA773" s="1616"/>
      <c r="AB773" s="1617"/>
      <c r="AC773" s="1373">
        <f>X773*O773</f>
        <v>3470</v>
      </c>
      <c r="AD773" s="1374"/>
      <c r="AE773" s="1374"/>
      <c r="AF773" s="1374"/>
      <c r="AG773" s="137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9">
        <f>IF(J773="SRO/Studio",O773,0)</f>
        <v>0</v>
      </c>
      <c r="CQ773" s="1340"/>
      <c r="CR773" s="1340"/>
      <c r="CS773" s="1340"/>
      <c r="CT773" s="1341"/>
      <c r="CU773" s="1389">
        <f>IF(J773="1 Bedroom",O773,0)</f>
        <v>2</v>
      </c>
      <c r="CV773" s="1389"/>
      <c r="CW773" s="1389"/>
      <c r="CX773" s="1389"/>
      <c r="CY773" s="1389"/>
      <c r="CZ773" s="1389">
        <f>IF(J773="2 Bedrooms",O773,0)</f>
        <v>0</v>
      </c>
      <c r="DA773" s="1389"/>
      <c r="DB773" s="1389"/>
      <c r="DC773" s="1389"/>
      <c r="DD773" s="1389"/>
      <c r="DE773" s="1389">
        <f>IF(J773="3 Bedrooms",O773,0)</f>
        <v>0</v>
      </c>
      <c r="DF773" s="1389"/>
      <c r="DG773" s="1389"/>
      <c r="DH773" s="1389"/>
      <c r="DI773" s="1389"/>
      <c r="DJ773" s="1389">
        <f>IF(J773="4 Bedrooms",O773,0)</f>
        <v>0</v>
      </c>
      <c r="DK773" s="1389"/>
      <c r="DL773" s="1389"/>
      <c r="DM773" s="1389"/>
      <c r="DN773" s="1389"/>
      <c r="DO773" s="1389">
        <f>IF(J773="5 Bedrooms",O773,0)</f>
        <v>0</v>
      </c>
      <c r="DP773" s="1389"/>
      <c r="DQ773" s="1389"/>
      <c r="DR773" s="1389"/>
      <c r="DS773" s="1389"/>
      <c r="DT773" s="6"/>
      <c r="DU773" s="3"/>
      <c r="DV773" s="3"/>
    </row>
    <row r="774" spans="1:126" ht="13" customHeight="1">
      <c r="J774" s="1390"/>
      <c r="K774" s="1391"/>
      <c r="L774" s="1391"/>
      <c r="M774" s="1391"/>
      <c r="N774" s="1392"/>
      <c r="O774" s="1517"/>
      <c r="P774" s="1517"/>
      <c r="Q774" s="1517"/>
      <c r="R774" s="1517"/>
      <c r="S774" s="1517"/>
      <c r="T774" s="1342"/>
      <c r="U774" s="1343"/>
      <c r="V774" s="1343"/>
      <c r="W774" s="1344"/>
      <c r="X774" s="1615"/>
      <c r="Y774" s="1616"/>
      <c r="Z774" s="1616"/>
      <c r="AA774" s="1616"/>
      <c r="AB774" s="1617"/>
      <c r="AC774" s="1373">
        <f>X774*O774</f>
        <v>0</v>
      </c>
      <c r="AD774" s="1374"/>
      <c r="AE774" s="1374"/>
      <c r="AF774" s="1374"/>
      <c r="AG774" s="137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9">
        <f>IF(J774="SRO/Studio",O774,0)</f>
        <v>0</v>
      </c>
      <c r="CQ774" s="1340"/>
      <c r="CR774" s="1340"/>
      <c r="CS774" s="1340"/>
      <c r="CT774" s="1341"/>
      <c r="CU774" s="1389">
        <f>IF(J774="1 Bedroom",O774,0)</f>
        <v>0</v>
      </c>
      <c r="CV774" s="1389"/>
      <c r="CW774" s="1389"/>
      <c r="CX774" s="1389"/>
      <c r="CY774" s="1389"/>
      <c r="CZ774" s="1389">
        <f>IF(J774="2 Bedrooms",O774,0)</f>
        <v>0</v>
      </c>
      <c r="DA774" s="1389"/>
      <c r="DB774" s="1389"/>
      <c r="DC774" s="1389"/>
      <c r="DD774" s="1389"/>
      <c r="DE774" s="1389">
        <f>IF(J774="3 Bedrooms",O774,0)</f>
        <v>0</v>
      </c>
      <c r="DF774" s="1389"/>
      <c r="DG774" s="1389"/>
      <c r="DH774" s="1389"/>
      <c r="DI774" s="1389"/>
      <c r="DJ774" s="1389">
        <f>IF(J774="4 Bedrooms",O774,0)</f>
        <v>0</v>
      </c>
      <c r="DK774" s="1389"/>
      <c r="DL774" s="1389"/>
      <c r="DM774" s="1389"/>
      <c r="DN774" s="1389"/>
      <c r="DO774" s="1389">
        <f>IF(J774="5 Bedrooms",O774,0)</f>
        <v>0</v>
      </c>
      <c r="DP774" s="1389"/>
      <c r="DQ774" s="1389"/>
      <c r="DR774" s="1389"/>
      <c r="DS774" s="1389"/>
      <c r="DT774" s="6"/>
      <c r="DU774" s="3"/>
      <c r="DV774" s="3"/>
    </row>
    <row r="775" spans="1:126" ht="13" customHeight="1">
      <c r="J775" s="1390"/>
      <c r="K775" s="1391"/>
      <c r="L775" s="1391"/>
      <c r="M775" s="1391"/>
      <c r="N775" s="1392"/>
      <c r="O775" s="1517"/>
      <c r="P775" s="1517"/>
      <c r="Q775" s="1517"/>
      <c r="R775" s="1517"/>
      <c r="S775" s="1517"/>
      <c r="T775" s="1342"/>
      <c r="U775" s="1343"/>
      <c r="V775" s="1343"/>
      <c r="W775" s="1344"/>
      <c r="X775" s="1615"/>
      <c r="Y775" s="1616"/>
      <c r="Z775" s="1616"/>
      <c r="AA775" s="1616"/>
      <c r="AB775" s="1617"/>
      <c r="AC775" s="1373">
        <f>X775*O775</f>
        <v>0</v>
      </c>
      <c r="AD775" s="1374"/>
      <c r="AE775" s="1374"/>
      <c r="AF775" s="1374"/>
      <c r="AG775" s="137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9">
        <f>IF(J775="SRO/Studio",O775,0)</f>
        <v>0</v>
      </c>
      <c r="CQ775" s="1340"/>
      <c r="CR775" s="1340"/>
      <c r="CS775" s="1340"/>
      <c r="CT775" s="1341"/>
      <c r="CU775" s="1389">
        <f>IF(J775="1 Bedroom",O775,0)</f>
        <v>0</v>
      </c>
      <c r="CV775" s="1389"/>
      <c r="CW775" s="1389"/>
      <c r="CX775" s="1389"/>
      <c r="CY775" s="1389"/>
      <c r="CZ775" s="1389">
        <f>IF(J775="2 Bedrooms",O775,0)</f>
        <v>0</v>
      </c>
      <c r="DA775" s="1389"/>
      <c r="DB775" s="1389"/>
      <c r="DC775" s="1389"/>
      <c r="DD775" s="1389"/>
      <c r="DE775" s="1389">
        <f>IF(J775="3 Bedrooms",O775,0)</f>
        <v>0</v>
      </c>
      <c r="DF775" s="1389"/>
      <c r="DG775" s="1389"/>
      <c r="DH775" s="1389"/>
      <c r="DI775" s="1389"/>
      <c r="DJ775" s="1389">
        <f>IF(J775="4 Bedrooms",O775,0)</f>
        <v>0</v>
      </c>
      <c r="DK775" s="1389"/>
      <c r="DL775" s="1389"/>
      <c r="DM775" s="1389"/>
      <c r="DN775" s="1389"/>
      <c r="DO775" s="1389">
        <f>IF(J775="5 Bedrooms",O775,0)</f>
        <v>0</v>
      </c>
      <c r="DP775" s="1389"/>
      <c r="DQ775" s="1389"/>
      <c r="DR775" s="1389"/>
      <c r="DS775" s="1389"/>
      <c r="DT775" s="1012"/>
    </row>
    <row r="776" spans="1:126" ht="13" customHeight="1">
      <c r="J776" s="1390"/>
      <c r="K776" s="1391"/>
      <c r="L776" s="1391"/>
      <c r="M776" s="1391"/>
      <c r="N776" s="1392"/>
      <c r="O776" s="1517"/>
      <c r="P776" s="1517"/>
      <c r="Q776" s="1517"/>
      <c r="R776" s="1517"/>
      <c r="S776" s="1517"/>
      <c r="T776" s="1342"/>
      <c r="U776" s="1343"/>
      <c r="V776" s="1343"/>
      <c r="W776" s="1344"/>
      <c r="X776" s="1615"/>
      <c r="Y776" s="1616"/>
      <c r="Z776" s="1616"/>
      <c r="AA776" s="1616"/>
      <c r="AB776" s="1617"/>
      <c r="AC776" s="1373">
        <f>X776*O776</f>
        <v>0</v>
      </c>
      <c r="AD776" s="1374"/>
      <c r="AE776" s="1374"/>
      <c r="AF776" s="1374"/>
      <c r="AG776" s="137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9">
        <f>IF(J776="SRO/Studio",O776,0)</f>
        <v>0</v>
      </c>
      <c r="CQ776" s="1340"/>
      <c r="CR776" s="1340"/>
      <c r="CS776" s="1340"/>
      <c r="CT776" s="1341"/>
      <c r="CU776" s="1389">
        <f>IF(J776="1 Bedroom",O776,0)</f>
        <v>0</v>
      </c>
      <c r="CV776" s="1389"/>
      <c r="CW776" s="1389"/>
      <c r="CX776" s="1389"/>
      <c r="CY776" s="1389"/>
      <c r="CZ776" s="1389">
        <f>IF(J776="2 Bedrooms",O776,0)</f>
        <v>0</v>
      </c>
      <c r="DA776" s="1389"/>
      <c r="DB776" s="1389"/>
      <c r="DC776" s="1389"/>
      <c r="DD776" s="1389"/>
      <c r="DE776" s="1389">
        <f>IF(J776="3 Bedrooms",O776,0)</f>
        <v>0</v>
      </c>
      <c r="DF776" s="1389"/>
      <c r="DG776" s="1389"/>
      <c r="DH776" s="1389"/>
      <c r="DI776" s="1389"/>
      <c r="DJ776" s="1389">
        <f>IF(J776="4 Bedrooms",O776,0)</f>
        <v>0</v>
      </c>
      <c r="DK776" s="1389"/>
      <c r="DL776" s="1389"/>
      <c r="DM776" s="1389"/>
      <c r="DN776" s="1389"/>
      <c r="DO776" s="1389">
        <f>IF(J776="5 Bedrooms",O776,0)</f>
        <v>0</v>
      </c>
      <c r="DP776" s="1389"/>
      <c r="DQ776" s="1389"/>
      <c r="DR776" s="1389"/>
      <c r="DS776" s="1389"/>
    </row>
    <row r="777" spans="1:126" ht="13" customHeight="1">
      <c r="J777" s="1336" t="s">
        <v>125</v>
      </c>
      <c r="K777" s="1337"/>
      <c r="L777" s="1337"/>
      <c r="M777" s="1337"/>
      <c r="N777" s="1338"/>
      <c r="O777" s="1345">
        <f>SUM(O773:S776)</f>
        <v>2</v>
      </c>
      <c r="P777" s="1346"/>
      <c r="Q777" s="1346"/>
      <c r="R777" s="1346"/>
      <c r="S777" s="1347"/>
      <c r="X777" s="1336" t="s">
        <v>124</v>
      </c>
      <c r="Y777" s="1337"/>
      <c r="Z777" s="1337"/>
      <c r="AA777" s="1337"/>
      <c r="AB777" s="1338"/>
      <c r="AC777" s="1373">
        <f>SUM(AC773:AG776)</f>
        <v>3470</v>
      </c>
      <c r="AD777" s="1374"/>
      <c r="AE777" s="1374"/>
      <c r="AF777" s="1374"/>
      <c r="AG777" s="137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5">
        <f>SUM(CP773:CT776)</f>
        <v>0</v>
      </c>
      <c r="CQ777" s="1346"/>
      <c r="CR777" s="1346"/>
      <c r="CS777" s="1346"/>
      <c r="CT777" s="1347"/>
      <c r="CU777" s="1352">
        <f>SUM(CU773:CY776)</f>
        <v>2</v>
      </c>
      <c r="CV777" s="1353"/>
      <c r="CW777" s="1353"/>
      <c r="CX777" s="1353"/>
      <c r="CY777" s="1354"/>
      <c r="CZ777" s="1352">
        <f>SUM(CZ773:DD776)</f>
        <v>0</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1">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410" t="s">
        <v>669</v>
      </c>
      <c r="K779" s="141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08" t="s">
        <v>389</v>
      </c>
      <c r="K783" s="1600"/>
      <c r="L783" s="1600"/>
      <c r="M783" s="1600"/>
      <c r="N783" s="1601"/>
      <c r="O783" s="1621" t="s">
        <v>285</v>
      </c>
      <c r="P783" s="1621"/>
      <c r="Q783" s="1621"/>
      <c r="R783" s="1621"/>
      <c r="S783" s="1621"/>
      <c r="T783" s="1609" t="s">
        <v>1679</v>
      </c>
      <c r="U783" s="1610"/>
      <c r="V783" s="1610"/>
      <c r="W783" s="1611"/>
      <c r="X783" s="1608" t="s">
        <v>447</v>
      </c>
      <c r="Y783" s="1600"/>
      <c r="Z783" s="1600"/>
      <c r="AA783" s="1600"/>
      <c r="AB783" s="1601"/>
      <c r="AC783" s="1608" t="s">
        <v>286</v>
      </c>
      <c r="AD783" s="1600"/>
      <c r="AE783" s="1600"/>
      <c r="AF783" s="1600"/>
      <c r="AG783" s="16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602"/>
      <c r="K784" s="1603"/>
      <c r="L784" s="1603"/>
      <c r="M784" s="1603"/>
      <c r="N784" s="1604"/>
      <c r="O784" s="1621"/>
      <c r="P784" s="1621"/>
      <c r="Q784" s="1621"/>
      <c r="R784" s="1621"/>
      <c r="S784" s="1621"/>
      <c r="T784" s="1612"/>
      <c r="U784" s="1613"/>
      <c r="V784" s="1613"/>
      <c r="W784" s="1614"/>
      <c r="X784" s="1602"/>
      <c r="Y784" s="1603"/>
      <c r="Z784" s="1603"/>
      <c r="AA784" s="1603"/>
      <c r="AB784" s="1604"/>
      <c r="AC784" s="1602"/>
      <c r="AD784" s="1603"/>
      <c r="AE784" s="1603"/>
      <c r="AF784" s="1603"/>
      <c r="AG784" s="16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602"/>
      <c r="K785" s="1603"/>
      <c r="L785" s="1603"/>
      <c r="M785" s="1603"/>
      <c r="N785" s="1604"/>
      <c r="O785" s="1621"/>
      <c r="P785" s="1621"/>
      <c r="Q785" s="1621"/>
      <c r="R785" s="1621"/>
      <c r="S785" s="1621"/>
      <c r="T785" s="1612"/>
      <c r="U785" s="1613"/>
      <c r="V785" s="1613"/>
      <c r="W785" s="1614"/>
      <c r="X785" s="1602"/>
      <c r="Y785" s="1603"/>
      <c r="Z785" s="1603"/>
      <c r="AA785" s="1603"/>
      <c r="AB785" s="1604"/>
      <c r="AC785" s="1602"/>
      <c r="AD785" s="1603"/>
      <c r="AE785" s="1603"/>
      <c r="AF785" s="1603"/>
      <c r="AG785" s="16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605"/>
      <c r="K786" s="1606"/>
      <c r="L786" s="1606"/>
      <c r="M786" s="1606"/>
      <c r="N786" s="1607"/>
      <c r="O786" s="1621"/>
      <c r="P786" s="1621"/>
      <c r="Q786" s="1621"/>
      <c r="R786" s="1621"/>
      <c r="S786" s="1621"/>
      <c r="T786" s="1622"/>
      <c r="U786" s="1623"/>
      <c r="V786" s="1623"/>
      <c r="W786" s="1624"/>
      <c r="X786" s="1605"/>
      <c r="Y786" s="1606"/>
      <c r="Z786" s="1606"/>
      <c r="AA786" s="1606"/>
      <c r="AB786" s="1607"/>
      <c r="AC786" s="1605"/>
      <c r="AD786" s="1606"/>
      <c r="AE786" s="1606"/>
      <c r="AF786" s="1606"/>
      <c r="AG786" s="16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90"/>
      <c r="K787" s="1391"/>
      <c r="L787" s="1391"/>
      <c r="M787" s="1391"/>
      <c r="N787" s="1392"/>
      <c r="O787" s="1517"/>
      <c r="P787" s="1517"/>
      <c r="Q787" s="1517"/>
      <c r="R787" s="1517"/>
      <c r="S787" s="1517"/>
      <c r="T787" s="1342"/>
      <c r="U787" s="1343"/>
      <c r="V787" s="1343"/>
      <c r="W787" s="1344"/>
      <c r="X787" s="1615"/>
      <c r="Y787" s="1616"/>
      <c r="Z787" s="1616"/>
      <c r="AA787" s="1616"/>
      <c r="AB787" s="1617"/>
      <c r="AC787" s="1373">
        <f t="shared" ref="AC787:AC796" si="40">X787*O787</f>
        <v>0</v>
      </c>
      <c r="AD787" s="1374"/>
      <c r="AE787" s="1374"/>
      <c r="AF787" s="1374"/>
      <c r="AG787" s="137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9">
        <f t="shared" ref="CP787:CP796" si="41">IF(J787="SRO/Studio",O787,0)</f>
        <v>0</v>
      </c>
      <c r="CQ787" s="1340"/>
      <c r="CR787" s="1340"/>
      <c r="CS787" s="1340"/>
      <c r="CT787" s="1341"/>
      <c r="CU787" s="1339">
        <f t="shared" ref="CU787:CU796" si="42">IF(J787="1 Bedroom",O787,0)</f>
        <v>0</v>
      </c>
      <c r="CV787" s="1340"/>
      <c r="CW787" s="1340"/>
      <c r="CX787" s="1340"/>
      <c r="CY787" s="1341"/>
      <c r="CZ787" s="1339">
        <f t="shared" ref="CZ787:CZ796" si="43">IF(J787="2 Bedrooms",O787,0)</f>
        <v>0</v>
      </c>
      <c r="DA787" s="1340"/>
      <c r="DB787" s="1340"/>
      <c r="DC787" s="1340"/>
      <c r="DD787" s="1341"/>
      <c r="DE787" s="1339">
        <f t="shared" ref="DE787:DE796" si="44">IF(J787="3 Bedrooms",O787,0)</f>
        <v>0</v>
      </c>
      <c r="DF787" s="1340"/>
      <c r="DG787" s="1340"/>
      <c r="DH787" s="1340"/>
      <c r="DI787" s="1341"/>
      <c r="DJ787" s="1339">
        <f t="shared" ref="DJ787:DJ796" si="45">IF(J787="4 Bedrooms",O787,0)</f>
        <v>0</v>
      </c>
      <c r="DK787" s="1340"/>
      <c r="DL787" s="1340"/>
      <c r="DM787" s="1340"/>
      <c r="DN787" s="1341"/>
      <c r="DO787" s="1339">
        <f t="shared" ref="DO787:DO796" si="46">IF(J787="5 Bedrooms",O787,0)</f>
        <v>0</v>
      </c>
      <c r="DP787" s="1340"/>
      <c r="DQ787" s="1340"/>
      <c r="DR787" s="1340"/>
      <c r="DS787" s="1341"/>
      <c r="DT787" s="6"/>
      <c r="DU787" s="1339">
        <f t="shared" ref="DU787:DU796" si="47">IF(AND(CP787&gt;=1,AH787&gt;=0.1,AH787&lt;=1),O787,0)</f>
        <v>0</v>
      </c>
      <c r="DV787" s="1340"/>
      <c r="DW787" s="1340"/>
      <c r="DX787" s="1340"/>
      <c r="DY787" s="1341"/>
      <c r="DZ787" s="1339">
        <f t="shared" ref="DZ787:DZ796" si="48">IF(AND(CU787&gt;=1,AH787&gt;=0.1,AH787&lt;=1),O787,0)</f>
        <v>0</v>
      </c>
      <c r="EA787" s="1340"/>
      <c r="EB787" s="1340"/>
      <c r="EC787" s="1340"/>
      <c r="ED787" s="1341"/>
      <c r="EE787" s="1339">
        <f t="shared" ref="EE787:EE796" si="49">IF(AND(CZ787&gt;=1,AH787&gt;=0.1,AH787&lt;=1),O787,0)</f>
        <v>0</v>
      </c>
      <c r="EF787" s="1340"/>
      <c r="EG787" s="1340"/>
      <c r="EH787" s="1340"/>
      <c r="EI787" s="1341"/>
      <c r="EJ787" s="1339">
        <f t="shared" ref="EJ787:EJ796" si="50">IF(AND(DE787&gt;=1,AH787&gt;=0.1,AH787&lt;=1),O787,0)</f>
        <v>0</v>
      </c>
      <c r="EK787" s="1340"/>
      <c r="EL787" s="1340"/>
      <c r="EM787" s="1340"/>
      <c r="EN787" s="1341"/>
      <c r="EO787" s="1339">
        <f t="shared" ref="EO787:EO796" si="51">IF(AND(DJ787&gt;=1,AH787&gt;=0.1,AH787&lt;=1),O787,0)</f>
        <v>0</v>
      </c>
      <c r="EP787" s="1340"/>
      <c r="EQ787" s="1340"/>
      <c r="ER787" s="1340"/>
      <c r="ES787" s="1341"/>
      <c r="ET787" s="1339">
        <f t="shared" ref="ET787:ET796" si="52">IF(AND(DO787&gt;=1,AH787&gt;=0.1,AH787&lt;=1),O787,0)</f>
        <v>0</v>
      </c>
      <c r="EU787" s="1340"/>
      <c r="EV787" s="1340"/>
      <c r="EW787" s="1340"/>
      <c r="EX787" s="1341"/>
    </row>
    <row r="788" spans="1:154" s="14" customFormat="1" ht="13" customHeight="1">
      <c r="A788"/>
      <c r="B788"/>
      <c r="C788"/>
      <c r="D788"/>
      <c r="E788"/>
      <c r="F788"/>
      <c r="G788"/>
      <c r="H788"/>
      <c r="I788"/>
      <c r="J788" s="1390"/>
      <c r="K788" s="1391"/>
      <c r="L788" s="1391"/>
      <c r="M788" s="1391"/>
      <c r="N788" s="1392"/>
      <c r="O788" s="1517"/>
      <c r="P788" s="1517"/>
      <c r="Q788" s="1517"/>
      <c r="R788" s="1517"/>
      <c r="S788" s="1517"/>
      <c r="T788" s="1342"/>
      <c r="U788" s="1343"/>
      <c r="V788" s="1343"/>
      <c r="W788" s="1344"/>
      <c r="X788" s="1615"/>
      <c r="Y788" s="1616"/>
      <c r="Z788" s="1616"/>
      <c r="AA788" s="1616"/>
      <c r="AB788" s="1617"/>
      <c r="AC788" s="1373">
        <f t="shared" si="40"/>
        <v>0</v>
      </c>
      <c r="AD788" s="1374"/>
      <c r="AE788" s="1374"/>
      <c r="AF788" s="1374"/>
      <c r="AG788" s="137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9">
        <f t="shared" si="41"/>
        <v>0</v>
      </c>
      <c r="CQ788" s="1340"/>
      <c r="CR788" s="1340"/>
      <c r="CS788" s="1340"/>
      <c r="CT788" s="1341"/>
      <c r="CU788" s="1339">
        <f t="shared" si="42"/>
        <v>0</v>
      </c>
      <c r="CV788" s="1340"/>
      <c r="CW788" s="1340"/>
      <c r="CX788" s="1340"/>
      <c r="CY788" s="1341"/>
      <c r="CZ788" s="1339">
        <f t="shared" si="43"/>
        <v>0</v>
      </c>
      <c r="DA788" s="1340"/>
      <c r="DB788" s="1340"/>
      <c r="DC788" s="1340"/>
      <c r="DD788" s="1341"/>
      <c r="DE788" s="1339">
        <f t="shared" si="44"/>
        <v>0</v>
      </c>
      <c r="DF788" s="1340"/>
      <c r="DG788" s="1340"/>
      <c r="DH788" s="1340"/>
      <c r="DI788" s="1341"/>
      <c r="DJ788" s="1339">
        <f t="shared" si="45"/>
        <v>0</v>
      </c>
      <c r="DK788" s="1340"/>
      <c r="DL788" s="1340"/>
      <c r="DM788" s="1340"/>
      <c r="DN788" s="1341"/>
      <c r="DO788" s="1339">
        <f t="shared" si="46"/>
        <v>0</v>
      </c>
      <c r="DP788" s="1340"/>
      <c r="DQ788" s="1340"/>
      <c r="DR788" s="1340"/>
      <c r="DS788" s="1341"/>
      <c r="DT788" s="6"/>
      <c r="DU788" s="1339">
        <f t="shared" si="47"/>
        <v>0</v>
      </c>
      <c r="DV788" s="1340"/>
      <c r="DW788" s="1340"/>
      <c r="DX788" s="1340"/>
      <c r="DY788" s="1341"/>
      <c r="DZ788" s="1339">
        <f t="shared" si="48"/>
        <v>0</v>
      </c>
      <c r="EA788" s="1340"/>
      <c r="EB788" s="1340"/>
      <c r="EC788" s="1340"/>
      <c r="ED788" s="1341"/>
      <c r="EE788" s="1339">
        <f t="shared" si="49"/>
        <v>0</v>
      </c>
      <c r="EF788" s="1340"/>
      <c r="EG788" s="1340"/>
      <c r="EH788" s="1340"/>
      <c r="EI788" s="1341"/>
      <c r="EJ788" s="1339">
        <f t="shared" si="50"/>
        <v>0</v>
      </c>
      <c r="EK788" s="1340"/>
      <c r="EL788" s="1340"/>
      <c r="EM788" s="1340"/>
      <c r="EN788" s="1341"/>
      <c r="EO788" s="1339">
        <f t="shared" si="51"/>
        <v>0</v>
      </c>
      <c r="EP788" s="1340"/>
      <c r="EQ788" s="1340"/>
      <c r="ER788" s="1340"/>
      <c r="ES788" s="1341"/>
      <c r="ET788" s="1339">
        <f t="shared" si="52"/>
        <v>0</v>
      </c>
      <c r="EU788" s="1340"/>
      <c r="EV788" s="1340"/>
      <c r="EW788" s="1340"/>
      <c r="EX788" s="1341"/>
    </row>
    <row r="789" spans="1:154" s="14" customFormat="1" ht="13" customHeight="1">
      <c r="A789"/>
      <c r="B789"/>
      <c r="C789"/>
      <c r="D789"/>
      <c r="E789"/>
      <c r="F789"/>
      <c r="G789"/>
      <c r="H789"/>
      <c r="I789"/>
      <c r="J789" s="1390"/>
      <c r="K789" s="1391"/>
      <c r="L789" s="1391"/>
      <c r="M789" s="1391"/>
      <c r="N789" s="1392"/>
      <c r="O789" s="1517"/>
      <c r="P789" s="1517"/>
      <c r="Q789" s="1517"/>
      <c r="R789" s="1517"/>
      <c r="S789" s="1517"/>
      <c r="T789" s="1342"/>
      <c r="U789" s="1343"/>
      <c r="V789" s="1343"/>
      <c r="W789" s="1344"/>
      <c r="X789" s="1615"/>
      <c r="Y789" s="1616"/>
      <c r="Z789" s="1616"/>
      <c r="AA789" s="1616"/>
      <c r="AB789" s="1617"/>
      <c r="AC789" s="1373">
        <f t="shared" si="40"/>
        <v>0</v>
      </c>
      <c r="AD789" s="1374"/>
      <c r="AE789" s="1374"/>
      <c r="AF789" s="1374"/>
      <c r="AG789" s="137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9">
        <f t="shared" si="41"/>
        <v>0</v>
      </c>
      <c r="CQ789" s="1340"/>
      <c r="CR789" s="1340"/>
      <c r="CS789" s="1340"/>
      <c r="CT789" s="1341"/>
      <c r="CU789" s="1339">
        <f t="shared" si="42"/>
        <v>0</v>
      </c>
      <c r="CV789" s="1340"/>
      <c r="CW789" s="1340"/>
      <c r="CX789" s="1340"/>
      <c r="CY789" s="1341"/>
      <c r="CZ789" s="1339">
        <f t="shared" si="43"/>
        <v>0</v>
      </c>
      <c r="DA789" s="1340"/>
      <c r="DB789" s="1340"/>
      <c r="DC789" s="1340"/>
      <c r="DD789" s="1341"/>
      <c r="DE789" s="1339">
        <f t="shared" si="44"/>
        <v>0</v>
      </c>
      <c r="DF789" s="1340"/>
      <c r="DG789" s="1340"/>
      <c r="DH789" s="1340"/>
      <c r="DI789" s="1341"/>
      <c r="DJ789" s="1339">
        <f t="shared" si="45"/>
        <v>0</v>
      </c>
      <c r="DK789" s="1340"/>
      <c r="DL789" s="1340"/>
      <c r="DM789" s="1340"/>
      <c r="DN789" s="1341"/>
      <c r="DO789" s="1339">
        <f t="shared" si="46"/>
        <v>0</v>
      </c>
      <c r="DP789" s="1340"/>
      <c r="DQ789" s="1340"/>
      <c r="DR789" s="1340"/>
      <c r="DS789" s="1341"/>
      <c r="DT789" s="6"/>
      <c r="DU789" s="1339">
        <f t="shared" si="47"/>
        <v>0</v>
      </c>
      <c r="DV789" s="1340"/>
      <c r="DW789" s="1340"/>
      <c r="DX789" s="1340"/>
      <c r="DY789" s="1341"/>
      <c r="DZ789" s="1339">
        <f t="shared" si="48"/>
        <v>0</v>
      </c>
      <c r="EA789" s="1340"/>
      <c r="EB789" s="1340"/>
      <c r="EC789" s="1340"/>
      <c r="ED789" s="1341"/>
      <c r="EE789" s="1339">
        <f t="shared" si="49"/>
        <v>0</v>
      </c>
      <c r="EF789" s="1340"/>
      <c r="EG789" s="1340"/>
      <c r="EH789" s="1340"/>
      <c r="EI789" s="1341"/>
      <c r="EJ789" s="1339">
        <f t="shared" si="50"/>
        <v>0</v>
      </c>
      <c r="EK789" s="1340"/>
      <c r="EL789" s="1340"/>
      <c r="EM789" s="1340"/>
      <c r="EN789" s="1341"/>
      <c r="EO789" s="1339">
        <f t="shared" si="51"/>
        <v>0</v>
      </c>
      <c r="EP789" s="1340"/>
      <c r="EQ789" s="1340"/>
      <c r="ER789" s="1340"/>
      <c r="ES789" s="1341"/>
      <c r="ET789" s="1339">
        <f t="shared" si="52"/>
        <v>0</v>
      </c>
      <c r="EU789" s="1340"/>
      <c r="EV789" s="1340"/>
      <c r="EW789" s="1340"/>
      <c r="EX789" s="1341"/>
    </row>
    <row r="790" spans="1:154" s="14" customFormat="1" ht="13" customHeight="1">
      <c r="A790"/>
      <c r="B790"/>
      <c r="C790"/>
      <c r="D790"/>
      <c r="E790"/>
      <c r="F790"/>
      <c r="G790"/>
      <c r="H790"/>
      <c r="I790"/>
      <c r="J790" s="1390"/>
      <c r="K790" s="1391"/>
      <c r="L790" s="1391"/>
      <c r="M790" s="1391"/>
      <c r="N790" s="1392"/>
      <c r="O790" s="1517"/>
      <c r="P790" s="1517"/>
      <c r="Q790" s="1517"/>
      <c r="R790" s="1517"/>
      <c r="S790" s="1517"/>
      <c r="T790" s="1342"/>
      <c r="U790" s="1343"/>
      <c r="V790" s="1343"/>
      <c r="W790" s="1344"/>
      <c r="X790" s="1615"/>
      <c r="Y790" s="1616"/>
      <c r="Z790" s="1616"/>
      <c r="AA790" s="1616"/>
      <c r="AB790" s="1617"/>
      <c r="AC790" s="1373">
        <f t="shared" si="40"/>
        <v>0</v>
      </c>
      <c r="AD790" s="1374"/>
      <c r="AE790" s="1374"/>
      <c r="AF790" s="1374"/>
      <c r="AG790" s="137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9">
        <f t="shared" si="41"/>
        <v>0</v>
      </c>
      <c r="CQ790" s="1340"/>
      <c r="CR790" s="1340"/>
      <c r="CS790" s="1340"/>
      <c r="CT790" s="1341"/>
      <c r="CU790" s="1339">
        <f t="shared" si="42"/>
        <v>0</v>
      </c>
      <c r="CV790" s="1340"/>
      <c r="CW790" s="1340"/>
      <c r="CX790" s="1340"/>
      <c r="CY790" s="1341"/>
      <c r="CZ790" s="1339">
        <f t="shared" si="43"/>
        <v>0</v>
      </c>
      <c r="DA790" s="1340"/>
      <c r="DB790" s="1340"/>
      <c r="DC790" s="1340"/>
      <c r="DD790" s="1341"/>
      <c r="DE790" s="1339">
        <f t="shared" si="44"/>
        <v>0</v>
      </c>
      <c r="DF790" s="1340"/>
      <c r="DG790" s="1340"/>
      <c r="DH790" s="1340"/>
      <c r="DI790" s="1341"/>
      <c r="DJ790" s="1339">
        <f t="shared" si="45"/>
        <v>0</v>
      </c>
      <c r="DK790" s="1340"/>
      <c r="DL790" s="1340"/>
      <c r="DM790" s="1340"/>
      <c r="DN790" s="1341"/>
      <c r="DO790" s="1339">
        <f t="shared" si="46"/>
        <v>0</v>
      </c>
      <c r="DP790" s="1340"/>
      <c r="DQ790" s="1340"/>
      <c r="DR790" s="1340"/>
      <c r="DS790" s="1341"/>
      <c r="DT790" s="6"/>
      <c r="DU790" s="1339">
        <f t="shared" si="47"/>
        <v>0</v>
      </c>
      <c r="DV790" s="1340"/>
      <c r="DW790" s="1340"/>
      <c r="DX790" s="1340"/>
      <c r="DY790" s="1341"/>
      <c r="DZ790" s="1339">
        <f t="shared" si="48"/>
        <v>0</v>
      </c>
      <c r="EA790" s="1340"/>
      <c r="EB790" s="1340"/>
      <c r="EC790" s="1340"/>
      <c r="ED790" s="1341"/>
      <c r="EE790" s="1339">
        <f t="shared" si="49"/>
        <v>0</v>
      </c>
      <c r="EF790" s="1340"/>
      <c r="EG790" s="1340"/>
      <c r="EH790" s="1340"/>
      <c r="EI790" s="1341"/>
      <c r="EJ790" s="1339">
        <f t="shared" si="50"/>
        <v>0</v>
      </c>
      <c r="EK790" s="1340"/>
      <c r="EL790" s="1340"/>
      <c r="EM790" s="1340"/>
      <c r="EN790" s="1341"/>
      <c r="EO790" s="1339">
        <f t="shared" si="51"/>
        <v>0</v>
      </c>
      <c r="EP790" s="1340"/>
      <c r="EQ790" s="1340"/>
      <c r="ER790" s="1340"/>
      <c r="ES790" s="1341"/>
      <c r="ET790" s="1339">
        <f t="shared" si="52"/>
        <v>0</v>
      </c>
      <c r="EU790" s="1340"/>
      <c r="EV790" s="1340"/>
      <c r="EW790" s="1340"/>
      <c r="EX790" s="1341"/>
    </row>
    <row r="791" spans="1:154" s="14" customFormat="1" ht="13" customHeight="1">
      <c r="A791"/>
      <c r="B791"/>
      <c r="C791"/>
      <c r="D791"/>
      <c r="E791"/>
      <c r="F791"/>
      <c r="G791"/>
      <c r="H791"/>
      <c r="I791"/>
      <c r="J791" s="1390"/>
      <c r="K791" s="1391"/>
      <c r="L791" s="1391"/>
      <c r="M791" s="1391"/>
      <c r="N791" s="1392"/>
      <c r="O791" s="1517"/>
      <c r="P791" s="1517"/>
      <c r="Q791" s="1517"/>
      <c r="R791" s="1517"/>
      <c r="S791" s="1517"/>
      <c r="T791" s="1342"/>
      <c r="U791" s="1343"/>
      <c r="V791" s="1343"/>
      <c r="W791" s="1344"/>
      <c r="X791" s="1615"/>
      <c r="Y791" s="1616"/>
      <c r="Z791" s="1616"/>
      <c r="AA791" s="1616"/>
      <c r="AB791" s="1617"/>
      <c r="AC791" s="1373">
        <f t="shared" si="40"/>
        <v>0</v>
      </c>
      <c r="AD791" s="1374"/>
      <c r="AE791" s="1374"/>
      <c r="AF791" s="1374"/>
      <c r="AG791" s="137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9">
        <f t="shared" si="41"/>
        <v>0</v>
      </c>
      <c r="CQ791" s="1340"/>
      <c r="CR791" s="1340"/>
      <c r="CS791" s="1340"/>
      <c r="CT791" s="1341"/>
      <c r="CU791" s="1339">
        <f t="shared" si="42"/>
        <v>0</v>
      </c>
      <c r="CV791" s="1340"/>
      <c r="CW791" s="1340"/>
      <c r="CX791" s="1340"/>
      <c r="CY791" s="1341"/>
      <c r="CZ791" s="1339">
        <f t="shared" si="43"/>
        <v>0</v>
      </c>
      <c r="DA791" s="1340"/>
      <c r="DB791" s="1340"/>
      <c r="DC791" s="1340"/>
      <c r="DD791" s="1341"/>
      <c r="DE791" s="1339">
        <f t="shared" si="44"/>
        <v>0</v>
      </c>
      <c r="DF791" s="1340"/>
      <c r="DG791" s="1340"/>
      <c r="DH791" s="1340"/>
      <c r="DI791" s="1341"/>
      <c r="DJ791" s="1339">
        <f t="shared" si="45"/>
        <v>0</v>
      </c>
      <c r="DK791" s="1340"/>
      <c r="DL791" s="1340"/>
      <c r="DM791" s="1340"/>
      <c r="DN791" s="1341"/>
      <c r="DO791" s="1339">
        <f t="shared" si="46"/>
        <v>0</v>
      </c>
      <c r="DP791" s="1340"/>
      <c r="DQ791" s="1340"/>
      <c r="DR791" s="1340"/>
      <c r="DS791" s="1341"/>
      <c r="DT791" s="6"/>
      <c r="DU791" s="1339">
        <f t="shared" si="47"/>
        <v>0</v>
      </c>
      <c r="DV791" s="1340"/>
      <c r="DW791" s="1340"/>
      <c r="DX791" s="1340"/>
      <c r="DY791" s="1341"/>
      <c r="DZ791" s="1339">
        <f t="shared" si="48"/>
        <v>0</v>
      </c>
      <c r="EA791" s="1340"/>
      <c r="EB791" s="1340"/>
      <c r="EC791" s="1340"/>
      <c r="ED791" s="1341"/>
      <c r="EE791" s="1339">
        <f t="shared" si="49"/>
        <v>0</v>
      </c>
      <c r="EF791" s="1340"/>
      <c r="EG791" s="1340"/>
      <c r="EH791" s="1340"/>
      <c r="EI791" s="1341"/>
      <c r="EJ791" s="1339">
        <f t="shared" si="50"/>
        <v>0</v>
      </c>
      <c r="EK791" s="1340"/>
      <c r="EL791" s="1340"/>
      <c r="EM791" s="1340"/>
      <c r="EN791" s="1341"/>
      <c r="EO791" s="1339">
        <f t="shared" si="51"/>
        <v>0</v>
      </c>
      <c r="EP791" s="1340"/>
      <c r="EQ791" s="1340"/>
      <c r="ER791" s="1340"/>
      <c r="ES791" s="1341"/>
      <c r="ET791" s="1339">
        <f t="shared" si="52"/>
        <v>0</v>
      </c>
      <c r="EU791" s="1340"/>
      <c r="EV791" s="1340"/>
      <c r="EW791" s="1340"/>
      <c r="EX791" s="1341"/>
    </row>
    <row r="792" spans="1:154" s="14" customFormat="1" ht="13" customHeight="1">
      <c r="A792"/>
      <c r="B792"/>
      <c r="C792"/>
      <c r="D792"/>
      <c r="E792"/>
      <c r="F792"/>
      <c r="G792"/>
      <c r="H792"/>
      <c r="I792"/>
      <c r="J792" s="1390"/>
      <c r="K792" s="1391"/>
      <c r="L792" s="1391"/>
      <c r="M792" s="1391"/>
      <c r="N792" s="1392"/>
      <c r="O792" s="1517"/>
      <c r="P792" s="1517"/>
      <c r="Q792" s="1517"/>
      <c r="R792" s="1517"/>
      <c r="S792" s="1517"/>
      <c r="T792" s="1342"/>
      <c r="U792" s="1343"/>
      <c r="V792" s="1343"/>
      <c r="W792" s="1344"/>
      <c r="X792" s="1615"/>
      <c r="Y792" s="1616"/>
      <c r="Z792" s="1616"/>
      <c r="AA792" s="1616"/>
      <c r="AB792" s="1617"/>
      <c r="AC792" s="1373">
        <f t="shared" si="40"/>
        <v>0</v>
      </c>
      <c r="AD792" s="1374"/>
      <c r="AE792" s="1374"/>
      <c r="AF792" s="1374"/>
      <c r="AG792" s="137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9">
        <f t="shared" si="41"/>
        <v>0</v>
      </c>
      <c r="CQ792" s="1340"/>
      <c r="CR792" s="1340"/>
      <c r="CS792" s="1340"/>
      <c r="CT792" s="1341"/>
      <c r="CU792" s="1339">
        <f t="shared" si="42"/>
        <v>0</v>
      </c>
      <c r="CV792" s="1340"/>
      <c r="CW792" s="1340"/>
      <c r="CX792" s="1340"/>
      <c r="CY792" s="1341"/>
      <c r="CZ792" s="1339">
        <f t="shared" si="43"/>
        <v>0</v>
      </c>
      <c r="DA792" s="1340"/>
      <c r="DB792" s="1340"/>
      <c r="DC792" s="1340"/>
      <c r="DD792" s="1341"/>
      <c r="DE792" s="1339">
        <f t="shared" si="44"/>
        <v>0</v>
      </c>
      <c r="DF792" s="1340"/>
      <c r="DG792" s="1340"/>
      <c r="DH792" s="1340"/>
      <c r="DI792" s="1341"/>
      <c r="DJ792" s="1339">
        <f t="shared" si="45"/>
        <v>0</v>
      </c>
      <c r="DK792" s="1340"/>
      <c r="DL792" s="1340"/>
      <c r="DM792" s="1340"/>
      <c r="DN792" s="1341"/>
      <c r="DO792" s="1339">
        <f t="shared" si="46"/>
        <v>0</v>
      </c>
      <c r="DP792" s="1340"/>
      <c r="DQ792" s="1340"/>
      <c r="DR792" s="1340"/>
      <c r="DS792" s="1341"/>
      <c r="DT792" s="6"/>
      <c r="DU792" s="1339">
        <f t="shared" si="47"/>
        <v>0</v>
      </c>
      <c r="DV792" s="1340"/>
      <c r="DW792" s="1340"/>
      <c r="DX792" s="1340"/>
      <c r="DY792" s="1341"/>
      <c r="DZ792" s="1339">
        <f t="shared" si="48"/>
        <v>0</v>
      </c>
      <c r="EA792" s="1340"/>
      <c r="EB792" s="1340"/>
      <c r="EC792" s="1340"/>
      <c r="ED792" s="1341"/>
      <c r="EE792" s="1339">
        <f t="shared" si="49"/>
        <v>0</v>
      </c>
      <c r="EF792" s="1340"/>
      <c r="EG792" s="1340"/>
      <c r="EH792" s="1340"/>
      <c r="EI792" s="1341"/>
      <c r="EJ792" s="1339">
        <f t="shared" si="50"/>
        <v>0</v>
      </c>
      <c r="EK792" s="1340"/>
      <c r="EL792" s="1340"/>
      <c r="EM792" s="1340"/>
      <c r="EN792" s="1341"/>
      <c r="EO792" s="1339">
        <f t="shared" si="51"/>
        <v>0</v>
      </c>
      <c r="EP792" s="1340"/>
      <c r="EQ792" s="1340"/>
      <c r="ER792" s="1340"/>
      <c r="ES792" s="1341"/>
      <c r="ET792" s="1339">
        <f t="shared" si="52"/>
        <v>0</v>
      </c>
      <c r="EU792" s="1340"/>
      <c r="EV792" s="1340"/>
      <c r="EW792" s="1340"/>
      <c r="EX792" s="1341"/>
    </row>
    <row r="793" spans="1:154" s="14" customFormat="1" ht="13" customHeight="1">
      <c r="A793"/>
      <c r="B793"/>
      <c r="C793"/>
      <c r="D793"/>
      <c r="E793"/>
      <c r="F793"/>
      <c r="G793"/>
      <c r="H793"/>
      <c r="I793"/>
      <c r="J793" s="1390"/>
      <c r="K793" s="1391"/>
      <c r="L793" s="1391"/>
      <c r="M793" s="1391"/>
      <c r="N793" s="1392"/>
      <c r="O793" s="1517"/>
      <c r="P793" s="1517"/>
      <c r="Q793" s="1517"/>
      <c r="R793" s="1517"/>
      <c r="S793" s="1517"/>
      <c r="T793" s="1342"/>
      <c r="U793" s="1343"/>
      <c r="V793" s="1343"/>
      <c r="W793" s="1344"/>
      <c r="X793" s="1615"/>
      <c r="Y793" s="1616"/>
      <c r="Z793" s="1616"/>
      <c r="AA793" s="1616"/>
      <c r="AB793" s="1617"/>
      <c r="AC793" s="1373">
        <f t="shared" si="40"/>
        <v>0</v>
      </c>
      <c r="AD793" s="1374"/>
      <c r="AE793" s="1374"/>
      <c r="AF793" s="1374"/>
      <c r="AG793" s="137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9">
        <f t="shared" si="41"/>
        <v>0</v>
      </c>
      <c r="CQ793" s="1340"/>
      <c r="CR793" s="1340"/>
      <c r="CS793" s="1340"/>
      <c r="CT793" s="1341"/>
      <c r="CU793" s="1339">
        <f t="shared" si="42"/>
        <v>0</v>
      </c>
      <c r="CV793" s="1340"/>
      <c r="CW793" s="1340"/>
      <c r="CX793" s="1340"/>
      <c r="CY793" s="1341"/>
      <c r="CZ793" s="1339">
        <f t="shared" si="43"/>
        <v>0</v>
      </c>
      <c r="DA793" s="1340"/>
      <c r="DB793" s="1340"/>
      <c r="DC793" s="1340"/>
      <c r="DD793" s="1341"/>
      <c r="DE793" s="1339">
        <f t="shared" si="44"/>
        <v>0</v>
      </c>
      <c r="DF793" s="1340"/>
      <c r="DG793" s="1340"/>
      <c r="DH793" s="1340"/>
      <c r="DI793" s="1341"/>
      <c r="DJ793" s="1339">
        <f t="shared" si="45"/>
        <v>0</v>
      </c>
      <c r="DK793" s="1340"/>
      <c r="DL793" s="1340"/>
      <c r="DM793" s="1340"/>
      <c r="DN793" s="1341"/>
      <c r="DO793" s="1339">
        <f t="shared" si="46"/>
        <v>0</v>
      </c>
      <c r="DP793" s="1340"/>
      <c r="DQ793" s="1340"/>
      <c r="DR793" s="1340"/>
      <c r="DS793" s="1341"/>
      <c r="DT793" s="6"/>
      <c r="DU793" s="1339">
        <f t="shared" si="47"/>
        <v>0</v>
      </c>
      <c r="DV793" s="1340"/>
      <c r="DW793" s="1340"/>
      <c r="DX793" s="1340"/>
      <c r="DY793" s="1341"/>
      <c r="DZ793" s="1339">
        <f t="shared" si="48"/>
        <v>0</v>
      </c>
      <c r="EA793" s="1340"/>
      <c r="EB793" s="1340"/>
      <c r="EC793" s="1340"/>
      <c r="ED793" s="1341"/>
      <c r="EE793" s="1339">
        <f t="shared" si="49"/>
        <v>0</v>
      </c>
      <c r="EF793" s="1340"/>
      <c r="EG793" s="1340"/>
      <c r="EH793" s="1340"/>
      <c r="EI793" s="1341"/>
      <c r="EJ793" s="1339">
        <f t="shared" si="50"/>
        <v>0</v>
      </c>
      <c r="EK793" s="1340"/>
      <c r="EL793" s="1340"/>
      <c r="EM793" s="1340"/>
      <c r="EN793" s="1341"/>
      <c r="EO793" s="1339">
        <f t="shared" si="51"/>
        <v>0</v>
      </c>
      <c r="EP793" s="1340"/>
      <c r="EQ793" s="1340"/>
      <c r="ER793" s="1340"/>
      <c r="ES793" s="1341"/>
      <c r="ET793" s="1339">
        <f t="shared" si="52"/>
        <v>0</v>
      </c>
      <c r="EU793" s="1340"/>
      <c r="EV793" s="1340"/>
      <c r="EW793" s="1340"/>
      <c r="EX793" s="1341"/>
    </row>
    <row r="794" spans="1:154" s="14" customFormat="1" ht="13" customHeight="1">
      <c r="A794"/>
      <c r="B794"/>
      <c r="C794"/>
      <c r="D794"/>
      <c r="E794"/>
      <c r="F794"/>
      <c r="G794"/>
      <c r="H794"/>
      <c r="I794"/>
      <c r="J794" s="1390"/>
      <c r="K794" s="1391"/>
      <c r="L794" s="1391"/>
      <c r="M794" s="1391"/>
      <c r="N794" s="1392"/>
      <c r="O794" s="1517"/>
      <c r="P794" s="1517"/>
      <c r="Q794" s="1517"/>
      <c r="R794" s="1517"/>
      <c r="S794" s="1517"/>
      <c r="T794" s="1342"/>
      <c r="U794" s="1343"/>
      <c r="V794" s="1343"/>
      <c r="W794" s="1344"/>
      <c r="X794" s="1615"/>
      <c r="Y794" s="1616"/>
      <c r="Z794" s="1616"/>
      <c r="AA794" s="1616"/>
      <c r="AB794" s="1617"/>
      <c r="AC794" s="1373">
        <f t="shared" si="40"/>
        <v>0</v>
      </c>
      <c r="AD794" s="1374"/>
      <c r="AE794" s="1374"/>
      <c r="AF794" s="1374"/>
      <c r="AG794" s="137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9">
        <f t="shared" si="41"/>
        <v>0</v>
      </c>
      <c r="CQ794" s="1340"/>
      <c r="CR794" s="1340"/>
      <c r="CS794" s="1340"/>
      <c r="CT794" s="1341"/>
      <c r="CU794" s="1339">
        <f t="shared" si="42"/>
        <v>0</v>
      </c>
      <c r="CV794" s="1340"/>
      <c r="CW794" s="1340"/>
      <c r="CX794" s="1340"/>
      <c r="CY794" s="1341"/>
      <c r="CZ794" s="1339">
        <f t="shared" si="43"/>
        <v>0</v>
      </c>
      <c r="DA794" s="1340"/>
      <c r="DB794" s="1340"/>
      <c r="DC794" s="1340"/>
      <c r="DD794" s="1341"/>
      <c r="DE794" s="1339">
        <f t="shared" si="44"/>
        <v>0</v>
      </c>
      <c r="DF794" s="1340"/>
      <c r="DG794" s="1340"/>
      <c r="DH794" s="1340"/>
      <c r="DI794" s="1341"/>
      <c r="DJ794" s="1339">
        <f t="shared" si="45"/>
        <v>0</v>
      </c>
      <c r="DK794" s="1340"/>
      <c r="DL794" s="1340"/>
      <c r="DM794" s="1340"/>
      <c r="DN794" s="1341"/>
      <c r="DO794" s="1339">
        <f t="shared" si="46"/>
        <v>0</v>
      </c>
      <c r="DP794" s="1340"/>
      <c r="DQ794" s="1340"/>
      <c r="DR794" s="1340"/>
      <c r="DS794" s="1341"/>
      <c r="DT794" s="6"/>
      <c r="DU794" s="1339">
        <f t="shared" si="47"/>
        <v>0</v>
      </c>
      <c r="DV794" s="1340"/>
      <c r="DW794" s="1340"/>
      <c r="DX794" s="1340"/>
      <c r="DY794" s="1341"/>
      <c r="DZ794" s="1339">
        <f t="shared" si="48"/>
        <v>0</v>
      </c>
      <c r="EA794" s="1340"/>
      <c r="EB794" s="1340"/>
      <c r="EC794" s="1340"/>
      <c r="ED794" s="1341"/>
      <c r="EE794" s="1339">
        <f t="shared" si="49"/>
        <v>0</v>
      </c>
      <c r="EF794" s="1340"/>
      <c r="EG794" s="1340"/>
      <c r="EH794" s="1340"/>
      <c r="EI794" s="1341"/>
      <c r="EJ794" s="1339">
        <f t="shared" si="50"/>
        <v>0</v>
      </c>
      <c r="EK794" s="1340"/>
      <c r="EL794" s="1340"/>
      <c r="EM794" s="1340"/>
      <c r="EN794" s="1341"/>
      <c r="EO794" s="1339">
        <f t="shared" si="51"/>
        <v>0</v>
      </c>
      <c r="EP794" s="1340"/>
      <c r="EQ794" s="1340"/>
      <c r="ER794" s="1340"/>
      <c r="ES794" s="1341"/>
      <c r="ET794" s="1339">
        <f t="shared" si="52"/>
        <v>0</v>
      </c>
      <c r="EU794" s="1340"/>
      <c r="EV794" s="1340"/>
      <c r="EW794" s="1340"/>
      <c r="EX794" s="1341"/>
    </row>
    <row r="795" spans="1:154" s="14" customFormat="1" ht="13" customHeight="1">
      <c r="A795"/>
      <c r="B795"/>
      <c r="C795"/>
      <c r="D795"/>
      <c r="E795"/>
      <c r="F795"/>
      <c r="G795"/>
      <c r="H795"/>
      <c r="I795"/>
      <c r="J795" s="1390"/>
      <c r="K795" s="1391"/>
      <c r="L795" s="1391"/>
      <c r="M795" s="1391"/>
      <c r="N795" s="1392"/>
      <c r="O795" s="1517"/>
      <c r="P795" s="1517"/>
      <c r="Q795" s="1517"/>
      <c r="R795" s="1517"/>
      <c r="S795" s="1517"/>
      <c r="T795" s="1342"/>
      <c r="U795" s="1343"/>
      <c r="V795" s="1343"/>
      <c r="W795" s="1344"/>
      <c r="X795" s="1615"/>
      <c r="Y795" s="1616"/>
      <c r="Z795" s="1616"/>
      <c r="AA795" s="1616"/>
      <c r="AB795" s="1617"/>
      <c r="AC795" s="1373">
        <f t="shared" si="40"/>
        <v>0</v>
      </c>
      <c r="AD795" s="1374"/>
      <c r="AE795" s="1374"/>
      <c r="AF795" s="1374"/>
      <c r="AG795" s="137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si="41"/>
        <v>0</v>
      </c>
      <c r="CQ795" s="1340"/>
      <c r="CR795" s="1340"/>
      <c r="CS795" s="1340"/>
      <c r="CT795" s="1341"/>
      <c r="CU795" s="1339">
        <f t="shared" si="42"/>
        <v>0</v>
      </c>
      <c r="CV795" s="1340"/>
      <c r="CW795" s="1340"/>
      <c r="CX795" s="1340"/>
      <c r="CY795" s="1341"/>
      <c r="CZ795" s="1339">
        <f t="shared" si="43"/>
        <v>0</v>
      </c>
      <c r="DA795" s="1340"/>
      <c r="DB795" s="1340"/>
      <c r="DC795" s="1340"/>
      <c r="DD795" s="1341"/>
      <c r="DE795" s="1339">
        <f t="shared" si="44"/>
        <v>0</v>
      </c>
      <c r="DF795" s="1340"/>
      <c r="DG795" s="1340"/>
      <c r="DH795" s="1340"/>
      <c r="DI795" s="1341"/>
      <c r="DJ795" s="1339">
        <f t="shared" si="45"/>
        <v>0</v>
      </c>
      <c r="DK795" s="1340"/>
      <c r="DL795" s="1340"/>
      <c r="DM795" s="1340"/>
      <c r="DN795" s="1341"/>
      <c r="DO795" s="1339">
        <f t="shared" si="46"/>
        <v>0</v>
      </c>
      <c r="DP795" s="1340"/>
      <c r="DQ795" s="1340"/>
      <c r="DR795" s="1340"/>
      <c r="DS795" s="1341"/>
      <c r="DT795" s="6"/>
      <c r="DU795" s="1339">
        <f t="shared" si="47"/>
        <v>0</v>
      </c>
      <c r="DV795" s="1340"/>
      <c r="DW795" s="1340"/>
      <c r="DX795" s="1340"/>
      <c r="DY795" s="1341"/>
      <c r="DZ795" s="1339">
        <f t="shared" si="48"/>
        <v>0</v>
      </c>
      <c r="EA795" s="1340"/>
      <c r="EB795" s="1340"/>
      <c r="EC795" s="1340"/>
      <c r="ED795" s="1341"/>
      <c r="EE795" s="1339">
        <f t="shared" si="49"/>
        <v>0</v>
      </c>
      <c r="EF795" s="1340"/>
      <c r="EG795" s="1340"/>
      <c r="EH795" s="1340"/>
      <c r="EI795" s="1341"/>
      <c r="EJ795" s="1339">
        <f t="shared" si="50"/>
        <v>0</v>
      </c>
      <c r="EK795" s="1340"/>
      <c r="EL795" s="1340"/>
      <c r="EM795" s="1340"/>
      <c r="EN795" s="1341"/>
      <c r="EO795" s="1339">
        <f t="shared" si="51"/>
        <v>0</v>
      </c>
      <c r="EP795" s="1340"/>
      <c r="EQ795" s="1340"/>
      <c r="ER795" s="1340"/>
      <c r="ES795" s="1341"/>
      <c r="ET795" s="1339">
        <f t="shared" si="52"/>
        <v>0</v>
      </c>
      <c r="EU795" s="1340"/>
      <c r="EV795" s="1340"/>
      <c r="EW795" s="1340"/>
      <c r="EX795" s="1341"/>
    </row>
    <row r="796" spans="1:154" s="4" customFormat="1" ht="13" customHeight="1">
      <c r="A796"/>
      <c r="B796"/>
      <c r="C796"/>
      <c r="D796"/>
      <c r="E796"/>
      <c r="F796"/>
      <c r="G796"/>
      <c r="H796"/>
      <c r="I796"/>
      <c r="J796" s="1390"/>
      <c r="K796" s="1391"/>
      <c r="L796" s="1391"/>
      <c r="M796" s="1391"/>
      <c r="N796" s="1392"/>
      <c r="O796" s="1517"/>
      <c r="P796" s="1517"/>
      <c r="Q796" s="1517"/>
      <c r="R796" s="1517"/>
      <c r="S796" s="1517"/>
      <c r="T796" s="1342"/>
      <c r="U796" s="1343"/>
      <c r="V796" s="1343"/>
      <c r="W796" s="1344"/>
      <c r="X796" s="1615"/>
      <c r="Y796" s="1616"/>
      <c r="Z796" s="1616"/>
      <c r="AA796" s="1616"/>
      <c r="AB796" s="1617"/>
      <c r="AC796" s="1373">
        <f t="shared" si="40"/>
        <v>0</v>
      </c>
      <c r="AD796" s="1374"/>
      <c r="AE796" s="1374"/>
      <c r="AF796" s="1374"/>
      <c r="AG796" s="1375"/>
      <c r="AH796"/>
      <c r="AI796"/>
      <c r="AJ796"/>
      <c r="AK796"/>
      <c r="AL796"/>
      <c r="AM796"/>
      <c r="AN796"/>
      <c r="AO796"/>
      <c r="AP796"/>
      <c r="AQ796"/>
      <c r="AR796"/>
      <c r="AS796"/>
      <c r="AT796"/>
      <c r="AU796"/>
      <c r="AV796"/>
      <c r="AW796"/>
      <c r="AX796"/>
      <c r="AY796"/>
      <c r="AZ796" s="3"/>
      <c r="CP796" s="1339">
        <f t="shared" si="41"/>
        <v>0</v>
      </c>
      <c r="CQ796" s="1340"/>
      <c r="CR796" s="1340"/>
      <c r="CS796" s="1340"/>
      <c r="CT796" s="1341"/>
      <c r="CU796" s="1339">
        <f t="shared" si="42"/>
        <v>0</v>
      </c>
      <c r="CV796" s="1340"/>
      <c r="CW796" s="1340"/>
      <c r="CX796" s="1340"/>
      <c r="CY796" s="1341"/>
      <c r="CZ796" s="1339">
        <f t="shared" si="43"/>
        <v>0</v>
      </c>
      <c r="DA796" s="1340"/>
      <c r="DB796" s="1340"/>
      <c r="DC796" s="1340"/>
      <c r="DD796" s="1341"/>
      <c r="DE796" s="1339">
        <f t="shared" si="44"/>
        <v>0</v>
      </c>
      <c r="DF796" s="1340"/>
      <c r="DG796" s="1340"/>
      <c r="DH796" s="1340"/>
      <c r="DI796" s="1341"/>
      <c r="DJ796" s="1339">
        <f t="shared" si="45"/>
        <v>0</v>
      </c>
      <c r="DK796" s="1340"/>
      <c r="DL796" s="1340"/>
      <c r="DM796" s="1340"/>
      <c r="DN796" s="1341"/>
      <c r="DO796" s="1339">
        <f t="shared" si="46"/>
        <v>0</v>
      </c>
      <c r="DP796" s="1340"/>
      <c r="DQ796" s="1340"/>
      <c r="DR796" s="1340"/>
      <c r="DS796" s="1341"/>
      <c r="DT796" s="6"/>
      <c r="DU796" s="1339">
        <f t="shared" si="47"/>
        <v>0</v>
      </c>
      <c r="DV796" s="1340"/>
      <c r="DW796" s="1340"/>
      <c r="DX796" s="1340"/>
      <c r="DY796" s="1341"/>
      <c r="DZ796" s="1339">
        <f t="shared" si="48"/>
        <v>0</v>
      </c>
      <c r="EA796" s="1340"/>
      <c r="EB796" s="1340"/>
      <c r="EC796" s="1340"/>
      <c r="ED796" s="1341"/>
      <c r="EE796" s="1339">
        <f t="shared" si="49"/>
        <v>0</v>
      </c>
      <c r="EF796" s="1340"/>
      <c r="EG796" s="1340"/>
      <c r="EH796" s="1340"/>
      <c r="EI796" s="1341"/>
      <c r="EJ796" s="1339">
        <f t="shared" si="50"/>
        <v>0</v>
      </c>
      <c r="EK796" s="1340"/>
      <c r="EL796" s="1340"/>
      <c r="EM796" s="1340"/>
      <c r="EN796" s="1341"/>
      <c r="EO796" s="1339">
        <f t="shared" si="51"/>
        <v>0</v>
      </c>
      <c r="EP796" s="1340"/>
      <c r="EQ796" s="1340"/>
      <c r="ER796" s="1340"/>
      <c r="ES796" s="1341"/>
      <c r="ET796" s="1339">
        <f t="shared" si="52"/>
        <v>0</v>
      </c>
      <c r="EU796" s="1340"/>
      <c r="EV796" s="1340"/>
      <c r="EW796" s="1340"/>
      <c r="EX796" s="1341"/>
    </row>
    <row r="797" spans="1:154" s="4" customFormat="1" ht="13" customHeight="1">
      <c r="A797"/>
      <c r="B797"/>
      <c r="C797"/>
      <c r="D797"/>
      <c r="E797"/>
      <c r="F797"/>
      <c r="G797"/>
      <c r="H797"/>
      <c r="I797"/>
      <c r="J797" s="1336" t="s">
        <v>125</v>
      </c>
      <c r="K797" s="1337"/>
      <c r="L797" s="1337"/>
      <c r="M797" s="1337"/>
      <c r="N797" s="1338"/>
      <c r="O797" s="1665">
        <f>SUM(O787:S796)</f>
        <v>0</v>
      </c>
      <c r="P797" s="1665"/>
      <c r="Q797" s="1665"/>
      <c r="R797" s="1665"/>
      <c r="S797" s="1665"/>
      <c r="T797"/>
      <c r="U797"/>
      <c r="V797"/>
      <c r="W797"/>
      <c r="X797" s="902" t="s">
        <v>124</v>
      </c>
      <c r="Y797" s="11"/>
      <c r="Z797" s="11"/>
      <c r="AA797" s="11"/>
      <c r="AB797" s="909"/>
      <c r="AC797" s="1373">
        <f>SUM(AC787:AG796)</f>
        <v>0</v>
      </c>
      <c r="AD797" s="1374"/>
      <c r="AE797" s="1374"/>
      <c r="AF797" s="1374"/>
      <c r="AG797" s="1375"/>
      <c r="AH797"/>
      <c r="AI797"/>
      <c r="AJ797"/>
      <c r="AK797"/>
      <c r="AL797"/>
      <c r="AM797"/>
      <c r="AN797"/>
      <c r="AO797"/>
      <c r="AP797"/>
      <c r="AQ797"/>
      <c r="AR797"/>
      <c r="AS797"/>
      <c r="AT797"/>
      <c r="AU797"/>
      <c r="AV797"/>
      <c r="AW797"/>
      <c r="AX797"/>
      <c r="AY797"/>
      <c r="AZ797" s="3"/>
      <c r="BA797"/>
      <c r="CP797" s="1345">
        <f>SUM(CP787:CT796)</f>
        <v>0</v>
      </c>
      <c r="CQ797" s="1346"/>
      <c r="CR797" s="1346"/>
      <c r="CS797" s="1346"/>
      <c r="CT797" s="1347"/>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2"/>
      <c r="DU797" s="1345">
        <f>SUM(DU787:DY796)</f>
        <v>0</v>
      </c>
      <c r="DV797" s="1346"/>
      <c r="DW797" s="1346"/>
      <c r="DX797" s="1346"/>
      <c r="DY797" s="1347"/>
      <c r="DZ797" s="1345">
        <f>SUM(DZ787:ED796)</f>
        <v>0</v>
      </c>
      <c r="EA797" s="1346"/>
      <c r="EB797" s="1346"/>
      <c r="EC797" s="1346"/>
      <c r="ED797" s="1347"/>
      <c r="EE797" s="1345">
        <f>SUM(EE787:EI796)</f>
        <v>0</v>
      </c>
      <c r="EF797" s="1346"/>
      <c r="EG797" s="1346"/>
      <c r="EH797" s="1346"/>
      <c r="EI797" s="1347"/>
      <c r="EJ797" s="1345">
        <f>SUM(EJ787:EN796)</f>
        <v>0</v>
      </c>
      <c r="EK797" s="1346"/>
      <c r="EL797" s="1346"/>
      <c r="EM797" s="1346"/>
      <c r="EN797" s="1347"/>
      <c r="EO797" s="1345">
        <f>SUM(EO787:ES796)</f>
        <v>0</v>
      </c>
      <c r="EP797" s="1346"/>
      <c r="EQ797" s="1346"/>
      <c r="ER797" s="1346"/>
      <c r="ES797" s="1347"/>
      <c r="ET797" s="1345">
        <f>SUM(ET787:EX796)</f>
        <v>0</v>
      </c>
      <c r="EU797" s="1346"/>
      <c r="EV797" s="1346"/>
      <c r="EW797" s="1346"/>
      <c r="EX797" s="1347"/>
    </row>
    <row r="798" spans="1:154" s="4" customFormat="1" ht="13"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9">
        <f>SUM(DU797:EX797)</f>
        <v>0</v>
      </c>
      <c r="EU799" s="1350"/>
      <c r="EV799" s="1350"/>
      <c r="EW799" s="1350"/>
      <c r="EX799" s="135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372">
        <f>O753+AC777+AC797</f>
        <v>394166</v>
      </c>
      <c r="Z800" s="1372"/>
      <c r="AA800" s="1372"/>
      <c r="AB800" s="1372"/>
      <c r="AC800" s="137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372">
        <f>(O753+AC777+AC797)*12</f>
        <v>4729992</v>
      </c>
      <c r="Z801" s="1372"/>
      <c r="AA801" s="1372"/>
      <c r="AB801" s="1372"/>
      <c r="AC801" s="137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0</v>
      </c>
      <c r="CQ802" s="1353"/>
      <c r="CR802" s="1353"/>
      <c r="CS802" s="1353"/>
      <c r="CT802" s="1354"/>
      <c r="CU802" s="1352">
        <f>CU753+CU777+CU797</f>
        <v>134</v>
      </c>
      <c r="CV802" s="1353"/>
      <c r="CW802" s="1353"/>
      <c r="CX802" s="1353"/>
      <c r="CY802" s="1354"/>
      <c r="CZ802" s="1352">
        <f>CZ753+CZ777+CZ797</f>
        <v>66</v>
      </c>
      <c r="DA802" s="1353"/>
      <c r="DB802" s="1353"/>
      <c r="DC802" s="1353"/>
      <c r="DD802" s="1354"/>
      <c r="DE802" s="1352">
        <f>DE753+DE777+DE797</f>
        <v>0</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1">
        <f>DU755+DU800</f>
        <v>264</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64"/>
      <c r="AA806" s="1650"/>
      <c r="AB806" s="1650"/>
      <c r="AC806" s="1650"/>
      <c r="AD806" s="1650"/>
      <c r="AE806" s="165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49"/>
      <c r="AA807" s="1650"/>
      <c r="AB807" s="1650"/>
      <c r="AC807" s="1650"/>
      <c r="AD807" s="1650"/>
      <c r="AE807" s="165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379">
        <v>0</v>
      </c>
      <c r="AA808" s="1380"/>
      <c r="AB808" s="1380"/>
      <c r="AC808" s="1380"/>
      <c r="AD808" s="1380"/>
      <c r="AE808" s="138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98">
        <f>'Subsidy Contract Calculation'!J40</f>
        <v>0</v>
      </c>
      <c r="AA809" s="1499"/>
      <c r="AB809" s="1499"/>
      <c r="AC809" s="1499"/>
      <c r="AD809" s="1499"/>
      <c r="AE809" s="150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78">
        <v>48000</v>
      </c>
      <c r="AA813" s="1358"/>
      <c r="AB813" s="1358"/>
      <c r="AC813" s="1358"/>
      <c r="AD813" s="1358"/>
      <c r="AE813" s="135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78"/>
      <c r="AA814" s="1358"/>
      <c r="AB814" s="1358"/>
      <c r="AC814" s="1358"/>
      <c r="AD814" s="1358"/>
      <c r="AE814" s="135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78"/>
      <c r="AA815" s="1358"/>
      <c r="AB815" s="1358"/>
      <c r="AC815" s="1358"/>
      <c r="AD815" s="1358"/>
      <c r="AE815" s="135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382" t="s">
        <v>2673</v>
      </c>
      <c r="Q816" s="1383"/>
      <c r="R816" s="1383"/>
      <c r="S816" s="1383"/>
      <c r="T816" s="1383"/>
      <c r="U816" s="1383"/>
      <c r="V816" s="1383"/>
      <c r="W816" s="1383"/>
      <c r="X816" s="1383"/>
      <c r="Y816" s="1384"/>
      <c r="Z816" s="1378">
        <v>316200</v>
      </c>
      <c r="AA816" s="1358"/>
      <c r="AB816" s="1358"/>
      <c r="AC816" s="1358"/>
      <c r="AD816" s="1358"/>
      <c r="AE816" s="135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98">
        <f>SUM(Z813:AE816)</f>
        <v>364200</v>
      </c>
      <c r="AA817" s="1499"/>
      <c r="AB817" s="1499"/>
      <c r="AC817" s="1499"/>
      <c r="AD817" s="1499"/>
      <c r="AE817" s="150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98">
        <f>Z817+Y801+Z809</f>
        <v>5094192</v>
      </c>
      <c r="AA818" s="1499"/>
      <c r="AB818" s="1499"/>
      <c r="AC818" s="1499"/>
      <c r="AD818" s="1499"/>
      <c r="AE818" s="150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43" t="s">
        <v>126</v>
      </c>
      <c r="N823" s="1643"/>
      <c r="O823" s="1643"/>
      <c r="P823" s="1644"/>
      <c r="Q823" s="1377" t="s">
        <v>290</v>
      </c>
      <c r="R823" s="1377"/>
      <c r="S823" s="1377"/>
      <c r="T823" s="1377"/>
      <c r="U823" s="1377" t="s">
        <v>291</v>
      </c>
      <c r="V823" s="1377"/>
      <c r="W823" s="1377"/>
      <c r="X823" s="1377"/>
      <c r="Y823" s="1377" t="s">
        <v>292</v>
      </c>
      <c r="Z823" s="1377"/>
      <c r="AA823" s="1377"/>
      <c r="AB823" s="1377"/>
      <c r="AC823" s="1377" t="s">
        <v>361</v>
      </c>
      <c r="AD823" s="1377"/>
      <c r="AE823" s="1377"/>
      <c r="AF823" s="1377"/>
      <c r="AG823" s="1647" t="s">
        <v>335</v>
      </c>
      <c r="AH823" s="1647"/>
      <c r="AI823" s="1647"/>
      <c r="AJ823" s="164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45"/>
      <c r="N824" s="1645"/>
      <c r="O824" s="1645"/>
      <c r="P824" s="1646"/>
      <c r="Q824" s="1377"/>
      <c r="R824" s="1377"/>
      <c r="S824" s="1377"/>
      <c r="T824" s="1377"/>
      <c r="U824" s="1377"/>
      <c r="V824" s="1377"/>
      <c r="W824" s="1377"/>
      <c r="X824" s="1377"/>
      <c r="Y824" s="1377"/>
      <c r="Z824" s="1377"/>
      <c r="AA824" s="1377"/>
      <c r="AB824" s="1377"/>
      <c r="AC824" s="1377"/>
      <c r="AD824" s="1377"/>
      <c r="AE824" s="1377"/>
      <c r="AF824" s="1377"/>
      <c r="AG824" s="1647"/>
      <c r="AH824" s="1647"/>
      <c r="AI824" s="1647"/>
      <c r="AJ824" s="164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48" t="s">
        <v>40</v>
      </c>
      <c r="D825" s="1494"/>
      <c r="E825" s="1494"/>
      <c r="F825" s="1494"/>
      <c r="G825" s="1494"/>
      <c r="H825" s="1494"/>
      <c r="I825" s="48"/>
      <c r="J825" s="48"/>
      <c r="K825" s="48"/>
      <c r="L825" s="49"/>
      <c r="M825" s="1332"/>
      <c r="N825" s="1332"/>
      <c r="O825" s="1332"/>
      <c r="P825" s="1332"/>
      <c r="Q825" s="1332"/>
      <c r="R825" s="1332"/>
      <c r="S825" s="1332"/>
      <c r="T825" s="1332"/>
      <c r="U825" s="1332"/>
      <c r="V825" s="1332"/>
      <c r="W825" s="1332"/>
      <c r="X825" s="1332"/>
      <c r="Y825" s="1332"/>
      <c r="Z825" s="1332"/>
      <c r="AA825" s="1332"/>
      <c r="AB825" s="1332"/>
      <c r="AC825" s="1361"/>
      <c r="AD825" s="1362"/>
      <c r="AE825" s="1362"/>
      <c r="AF825" s="1363"/>
      <c r="AG825" s="1361"/>
      <c r="AH825" s="1362"/>
      <c r="AI825" s="1362"/>
      <c r="AJ825" s="1363"/>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13" t="s">
        <v>41</v>
      </c>
      <c r="D826" s="1514"/>
      <c r="E826" s="1514"/>
      <c r="F826" s="1514"/>
      <c r="G826" s="1514"/>
      <c r="H826" s="1514"/>
      <c r="I826" s="5"/>
      <c r="J826" s="5"/>
      <c r="K826" s="5"/>
      <c r="L826" s="46"/>
      <c r="M826" s="1332"/>
      <c r="N826" s="1332"/>
      <c r="O826" s="1332"/>
      <c r="P826" s="1332"/>
      <c r="Q826" s="1332"/>
      <c r="R826" s="1332"/>
      <c r="S826" s="1332"/>
      <c r="T826" s="1332"/>
      <c r="U826" s="1332"/>
      <c r="V826" s="1332"/>
      <c r="W826" s="1332"/>
      <c r="X826" s="1332"/>
      <c r="Y826" s="1332"/>
      <c r="Z826" s="1332"/>
      <c r="AA826" s="1332"/>
      <c r="AB826" s="1332"/>
      <c r="AC826" s="1361"/>
      <c r="AD826" s="1362"/>
      <c r="AE826" s="1362"/>
      <c r="AF826" s="1363"/>
      <c r="AG826" s="1361"/>
      <c r="AH826" s="1362"/>
      <c r="AI826" s="1362"/>
      <c r="AJ826" s="1363"/>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13" t="s">
        <v>42</v>
      </c>
      <c r="D827" s="1514"/>
      <c r="E827" s="1514"/>
      <c r="F827" s="1514"/>
      <c r="G827" s="1514"/>
      <c r="H827" s="1514"/>
      <c r="I827" s="60"/>
      <c r="J827" s="60"/>
      <c r="K827" s="60"/>
      <c r="L827" s="61"/>
      <c r="M827" s="1332"/>
      <c r="N827" s="1332"/>
      <c r="O827" s="1332"/>
      <c r="P827" s="1332"/>
      <c r="Q827" s="1332"/>
      <c r="R827" s="1332"/>
      <c r="S827" s="1332"/>
      <c r="T827" s="1332"/>
      <c r="U827" s="1332"/>
      <c r="V827" s="1332"/>
      <c r="W827" s="1332"/>
      <c r="X827" s="1332"/>
      <c r="Y827" s="1332"/>
      <c r="Z827" s="1332"/>
      <c r="AA827" s="1332"/>
      <c r="AB827" s="1332"/>
      <c r="AC827" s="1361"/>
      <c r="AD827" s="1362"/>
      <c r="AE827" s="1362"/>
      <c r="AF827" s="1363"/>
      <c r="AG827" s="1361"/>
      <c r="AH827" s="1362"/>
      <c r="AI827" s="1362"/>
      <c r="AJ827" s="1363"/>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13" t="s">
        <v>762</v>
      </c>
      <c r="D828" s="1514"/>
      <c r="E828" s="1514"/>
      <c r="F828" s="1514"/>
      <c r="G828" s="1514"/>
      <c r="H828" s="1514"/>
      <c r="I828" s="60"/>
      <c r="J828" s="60"/>
      <c r="K828" s="60"/>
      <c r="L828" s="61"/>
      <c r="M828" s="1332"/>
      <c r="N828" s="1332"/>
      <c r="O828" s="1332"/>
      <c r="P828" s="1332"/>
      <c r="Q828" s="1332"/>
      <c r="R828" s="1332"/>
      <c r="S828" s="1332"/>
      <c r="T828" s="1332"/>
      <c r="U828" s="1332"/>
      <c r="V828" s="1332"/>
      <c r="W828" s="1332"/>
      <c r="X828" s="1332"/>
      <c r="Y828" s="1332"/>
      <c r="Z828" s="1332"/>
      <c r="AA828" s="1332"/>
      <c r="AB828" s="1332"/>
      <c r="AC828" s="1361"/>
      <c r="AD828" s="1362"/>
      <c r="AE828" s="1362"/>
      <c r="AF828" s="1363"/>
      <c r="AG828" s="1361"/>
      <c r="AH828" s="1362"/>
      <c r="AI828" s="1362"/>
      <c r="AJ828" s="1363"/>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13" t="s">
        <v>459</v>
      </c>
      <c r="D829" s="1514"/>
      <c r="E829" s="1514"/>
      <c r="F829" s="1514"/>
      <c r="G829" s="1514"/>
      <c r="H829" s="1514"/>
      <c r="I829" s="60"/>
      <c r="J829" s="60"/>
      <c r="K829" s="60"/>
      <c r="L829" s="61"/>
      <c r="M829" s="1332"/>
      <c r="N829" s="1332"/>
      <c r="O829" s="1332"/>
      <c r="P829" s="1332"/>
      <c r="Q829" s="1332"/>
      <c r="R829" s="1332"/>
      <c r="S829" s="1332"/>
      <c r="T829" s="1332"/>
      <c r="U829" s="1332"/>
      <c r="V829" s="1332"/>
      <c r="W829" s="1332"/>
      <c r="X829" s="1332"/>
      <c r="Y829" s="1332"/>
      <c r="Z829" s="1332"/>
      <c r="AA829" s="1332"/>
      <c r="AB829" s="1332"/>
      <c r="AC829" s="1361"/>
      <c r="AD829" s="1362"/>
      <c r="AE829" s="1362"/>
      <c r="AF829" s="1363"/>
      <c r="AG829" s="1361"/>
      <c r="AH829" s="1362"/>
      <c r="AI829" s="1362"/>
      <c r="AJ829" s="1363"/>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9" t="s">
        <v>783</v>
      </c>
      <c r="D830" s="1514"/>
      <c r="E830" s="1514"/>
      <c r="F830" s="1514"/>
      <c r="G830" s="1514"/>
      <c r="H830" s="1514"/>
      <c r="I830" s="60"/>
      <c r="J830" s="60"/>
      <c r="K830" s="60"/>
      <c r="L830" s="61"/>
      <c r="M830" s="1332"/>
      <c r="N830" s="1332"/>
      <c r="O830" s="1332"/>
      <c r="P830" s="1332"/>
      <c r="Q830" s="1332"/>
      <c r="R830" s="1332"/>
      <c r="S830" s="1332"/>
      <c r="T830" s="1332"/>
      <c r="U830" s="1332"/>
      <c r="V830" s="1332"/>
      <c r="W830" s="1332"/>
      <c r="X830" s="1332"/>
      <c r="Y830" s="1332"/>
      <c r="Z830" s="1332"/>
      <c r="AA830" s="1332"/>
      <c r="AB830" s="1332"/>
      <c r="AC830" s="1361"/>
      <c r="AD830" s="1362"/>
      <c r="AE830" s="1362"/>
      <c r="AF830" s="1363"/>
      <c r="AG830" s="1361"/>
      <c r="AH830" s="1362"/>
      <c r="AI830" s="1362"/>
      <c r="AJ830" s="1363"/>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382"/>
      <c r="G831" s="1383"/>
      <c r="H831" s="1383"/>
      <c r="I831" s="1383"/>
      <c r="J831" s="1383"/>
      <c r="K831" s="1383"/>
      <c r="L831" s="1383"/>
      <c r="M831" s="1332"/>
      <c r="N831" s="1332"/>
      <c r="O831" s="1332"/>
      <c r="P831" s="1332"/>
      <c r="Q831" s="1332"/>
      <c r="R831" s="1332"/>
      <c r="S831" s="1332"/>
      <c r="T831" s="1332"/>
      <c r="U831" s="1332"/>
      <c r="V831" s="1332"/>
      <c r="W831" s="1332"/>
      <c r="X831" s="1332"/>
      <c r="Y831" s="1332"/>
      <c r="Z831" s="1332"/>
      <c r="AA831" s="1332"/>
      <c r="AB831" s="1332"/>
      <c r="AC831" s="1361"/>
      <c r="AD831" s="1362"/>
      <c r="AE831" s="1362"/>
      <c r="AF831" s="1363"/>
      <c r="AG831" s="1361"/>
      <c r="AH831" s="1362"/>
      <c r="AI831" s="1362"/>
      <c r="AJ831" s="1363"/>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336" t="s">
        <v>124</v>
      </c>
      <c r="D832" s="1337"/>
      <c r="E832" s="1337"/>
      <c r="F832" s="1337"/>
      <c r="G832" s="1337"/>
      <c r="H832" s="1337"/>
      <c r="I832" s="1337"/>
      <c r="J832" s="1337"/>
      <c r="K832" s="1337"/>
      <c r="L832" s="1338"/>
      <c r="M832" s="1376">
        <f>SUM(M825:P831)</f>
        <v>0</v>
      </c>
      <c r="N832" s="1376"/>
      <c r="O832" s="1376"/>
      <c r="P832" s="1376"/>
      <c r="Q832" s="1376">
        <f>SUM(Q825:T831)</f>
        <v>0</v>
      </c>
      <c r="R832" s="1376"/>
      <c r="S832" s="1376"/>
      <c r="T832" s="1376"/>
      <c r="U832" s="1376">
        <f>SUM(U825:X831)</f>
        <v>0</v>
      </c>
      <c r="V832" s="1376"/>
      <c r="W832" s="1376"/>
      <c r="X832" s="1376"/>
      <c r="Y832" s="1376">
        <f>SUM(Y825:AB831)</f>
        <v>0</v>
      </c>
      <c r="Z832" s="1376"/>
      <c r="AA832" s="1376"/>
      <c r="AB832" s="1376"/>
      <c r="AC832" s="1376">
        <f>SUM(AC825:AF831)</f>
        <v>0</v>
      </c>
      <c r="AD832" s="1376"/>
      <c r="AE832" s="1376"/>
      <c r="AF832" s="1376"/>
      <c r="AG832" s="1376">
        <f>SUM(AG825:AJ831)</f>
        <v>0</v>
      </c>
      <c r="AH832" s="1376"/>
      <c r="AI832" s="1376"/>
      <c r="AJ832" s="137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40" t="s">
        <v>2718</v>
      </c>
      <c r="D837" s="1641"/>
      <c r="E837" s="1641"/>
      <c r="F837" s="1641"/>
      <c r="G837" s="1641"/>
      <c r="H837" s="1641"/>
      <c r="I837" s="1641"/>
      <c r="J837" s="1641"/>
      <c r="K837" s="1641"/>
      <c r="L837" s="1641"/>
      <c r="M837" s="1641"/>
      <c r="N837" s="1641"/>
      <c r="O837" s="1641"/>
      <c r="P837" s="1641"/>
      <c r="Q837" s="1641"/>
      <c r="R837" s="1641"/>
      <c r="S837" s="1641"/>
      <c r="T837" s="1641"/>
      <c r="U837" s="1641"/>
      <c r="V837" s="1641"/>
      <c r="W837" s="1641"/>
      <c r="X837" s="1641"/>
      <c r="Y837" s="1641"/>
      <c r="Z837" s="1641"/>
      <c r="AA837" s="1641"/>
      <c r="AB837" s="1641"/>
      <c r="AC837" s="1641"/>
      <c r="AD837" s="1641"/>
      <c r="AE837" s="1641"/>
      <c r="AF837" s="1641"/>
      <c r="AG837" s="1641"/>
      <c r="AH837" s="1641"/>
      <c r="AI837" s="1641"/>
      <c r="AJ837" s="164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c r="BJ841" s="1652"/>
      <c r="BK841" s="1652"/>
      <c r="BL841" s="1652"/>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368">
        <v>15000</v>
      </c>
      <c r="X842" s="1368"/>
      <c r="Y842" s="1368"/>
      <c r="Z842" s="1368"/>
      <c r="AA842" s="1368"/>
      <c r="AB842" s="1368"/>
      <c r="AC842" s="136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368"/>
      <c r="X843" s="1368"/>
      <c r="Y843" s="1368"/>
      <c r="Z843" s="1368"/>
      <c r="AA843" s="1368"/>
      <c r="AB843" s="1368"/>
      <c r="AC843" s="136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368">
        <v>12000</v>
      </c>
      <c r="X844" s="1368"/>
      <c r="Y844" s="1368"/>
      <c r="Z844" s="1368"/>
      <c r="AA844" s="1368"/>
      <c r="AB844" s="1368"/>
      <c r="AC844" s="1368"/>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368"/>
      <c r="X845" s="1368"/>
      <c r="Y845" s="1368"/>
      <c r="Z845" s="1368"/>
      <c r="AA845" s="1368"/>
      <c r="AB845" s="1368"/>
      <c r="AC845" s="1368"/>
      <c r="AZ845" s="30"/>
      <c r="BA845" s="30"/>
      <c r="BB845" s="14"/>
      <c r="BC845" s="14"/>
      <c r="BD845" s="14"/>
      <c r="BE845" s="14"/>
      <c r="BF845" s="14"/>
      <c r="BG845" s="14"/>
      <c r="BH845" s="14"/>
      <c r="BI845" s="14"/>
      <c r="BJ845" s="14"/>
      <c r="BK845" s="14"/>
      <c r="BL845" s="14"/>
    </row>
    <row r="846" spans="1:64" ht="13" customHeight="1">
      <c r="J846" s="45" t="s">
        <v>170</v>
      </c>
      <c r="K846" s="5"/>
      <c r="L846" s="5"/>
      <c r="M846" s="1382" t="s">
        <v>2659</v>
      </c>
      <c r="N846" s="1383"/>
      <c r="O846" s="1383"/>
      <c r="P846" s="1383"/>
      <c r="Q846" s="1383"/>
      <c r="R846" s="1383"/>
      <c r="S846" s="1383"/>
      <c r="T846" s="1383"/>
      <c r="U846" s="1383"/>
      <c r="V846" s="1384"/>
      <c r="W846" s="1368">
        <v>67500</v>
      </c>
      <c r="X846" s="1368"/>
      <c r="Y846" s="1368"/>
      <c r="Z846" s="1368"/>
      <c r="AA846" s="1368"/>
      <c r="AB846" s="1368"/>
      <c r="AC846" s="136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98">
        <f>SUM(W842:W846)</f>
        <v>94500</v>
      </c>
      <c r="X847" s="1499"/>
      <c r="Y847" s="1499"/>
      <c r="Z847" s="1499"/>
      <c r="AA847" s="1499"/>
      <c r="AB847" s="1499"/>
      <c r="AC847" s="150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364"/>
      <c r="BH848" s="1364"/>
      <c r="BI848" s="1364"/>
      <c r="BJ848" s="1364"/>
      <c r="BK848" s="1364"/>
      <c r="BL848" s="1364"/>
    </row>
    <row r="849" spans="3:55" ht="13" customHeight="1">
      <c r="C849" s="2" t="s">
        <v>344</v>
      </c>
      <c r="J849" s="1336" t="s">
        <v>345</v>
      </c>
      <c r="K849" s="1337"/>
      <c r="L849" s="1337"/>
      <c r="M849" s="1337"/>
      <c r="N849" s="1337"/>
      <c r="O849" s="1337"/>
      <c r="P849" s="1337"/>
      <c r="Q849" s="1337"/>
      <c r="R849" s="1337"/>
      <c r="S849" s="1337"/>
      <c r="T849" s="1337"/>
      <c r="U849" s="1337"/>
      <c r="V849" s="1338"/>
      <c r="W849" s="1378">
        <v>145843</v>
      </c>
      <c r="X849" s="1358"/>
      <c r="Y849" s="1358"/>
      <c r="Z849" s="1358"/>
      <c r="AA849" s="1358"/>
      <c r="AB849" s="1358"/>
      <c r="AC849" s="1359"/>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32"/>
      <c r="X851" s="1632"/>
      <c r="Y851" s="1632"/>
      <c r="Z851" s="1632"/>
      <c r="AA851" s="1632"/>
      <c r="AB851" s="1632"/>
      <c r="AC851" s="1632"/>
      <c r="AZ851" s="1388"/>
      <c r="BA851" s="1388"/>
      <c r="BB851" s="14"/>
      <c r="BC851" s="14"/>
    </row>
    <row r="852" spans="3:55" ht="13" customHeight="1">
      <c r="J852" s="45" t="s">
        <v>351</v>
      </c>
      <c r="K852" s="5"/>
      <c r="L852" s="5"/>
      <c r="M852" s="5"/>
      <c r="N852" s="5"/>
      <c r="O852" s="5"/>
      <c r="P852" s="5"/>
      <c r="Q852" s="5"/>
      <c r="R852" s="5"/>
      <c r="S852" s="5"/>
      <c r="T852" s="5"/>
      <c r="U852" s="5"/>
      <c r="V852" s="46"/>
      <c r="W852" s="1632">
        <v>45000</v>
      </c>
      <c r="X852" s="1632"/>
      <c r="Y852" s="1632"/>
      <c r="Z852" s="1632"/>
      <c r="AA852" s="1632"/>
      <c r="AB852" s="1632"/>
      <c r="AC852" s="1632"/>
      <c r="AZ852" s="30"/>
      <c r="BA852" s="30"/>
      <c r="BB852" s="14"/>
      <c r="BC852" s="14"/>
    </row>
    <row r="853" spans="3:55" ht="13" customHeight="1">
      <c r="J853" s="45" t="s">
        <v>459</v>
      </c>
      <c r="K853" s="5"/>
      <c r="L853" s="5"/>
      <c r="M853" s="5"/>
      <c r="N853" s="5"/>
      <c r="O853" s="5"/>
      <c r="P853" s="5"/>
      <c r="Q853" s="5"/>
      <c r="R853" s="5"/>
      <c r="S853" s="5"/>
      <c r="T853" s="5"/>
      <c r="U853" s="5"/>
      <c r="V853" s="46"/>
      <c r="W853" s="1632">
        <v>125000</v>
      </c>
      <c r="X853" s="1632"/>
      <c r="Y853" s="1632"/>
      <c r="Z853" s="1632"/>
      <c r="AA853" s="1632"/>
      <c r="AB853" s="1632"/>
      <c r="AC853" s="1632"/>
      <c r="AZ853" s="30"/>
      <c r="BA853" s="30"/>
      <c r="BB853" s="14"/>
      <c r="BC853" s="14"/>
    </row>
    <row r="854" spans="3:55" ht="13" customHeight="1">
      <c r="J854" s="62" t="s">
        <v>620</v>
      </c>
      <c r="K854" s="5"/>
      <c r="L854" s="5"/>
      <c r="M854" s="5"/>
      <c r="N854" s="5"/>
      <c r="O854" s="5"/>
      <c r="P854" s="5"/>
      <c r="Q854" s="5"/>
      <c r="R854" s="5"/>
      <c r="S854" s="5"/>
      <c r="T854" s="5"/>
      <c r="U854" s="5"/>
      <c r="V854" s="46"/>
      <c r="W854" s="1632">
        <v>140000</v>
      </c>
      <c r="X854" s="1632"/>
      <c r="Y854" s="1632"/>
      <c r="Z854" s="1632"/>
      <c r="AA854" s="1632"/>
      <c r="AB854" s="1632"/>
      <c r="AC854" s="1632"/>
      <c r="AZ854" s="34"/>
      <c r="BA854" s="34"/>
      <c r="BB854" s="34"/>
      <c r="BC854" s="34"/>
    </row>
    <row r="855" spans="3:55" ht="13" customHeight="1">
      <c r="J855" s="63"/>
      <c r="K855" s="48"/>
      <c r="L855" s="48"/>
      <c r="M855" s="48"/>
      <c r="N855" s="48"/>
      <c r="O855" s="48"/>
      <c r="P855" s="48"/>
      <c r="Q855" s="48"/>
      <c r="R855" s="48"/>
      <c r="S855" s="48"/>
      <c r="T855" s="48"/>
      <c r="U855" s="48"/>
      <c r="V855" s="54" t="s">
        <v>272</v>
      </c>
      <c r="W855" s="1633">
        <f>SUM(W851:W854)</f>
        <v>310000</v>
      </c>
      <c r="X855" s="1633"/>
      <c r="Y855" s="1633"/>
      <c r="Z855" s="1633"/>
      <c r="AA855" s="1633"/>
      <c r="AB855" s="1633"/>
      <c r="AC855" s="1633"/>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29">
        <v>169066</v>
      </c>
      <c r="X857" s="1630"/>
      <c r="Y857" s="1630"/>
      <c r="Z857" s="1630"/>
      <c r="AA857" s="1630"/>
      <c r="AB857" s="1630"/>
      <c r="AC857" s="1631"/>
      <c r="AD857" s="528"/>
      <c r="AZ857" s="34"/>
      <c r="BA857" s="34"/>
      <c r="BB857" s="34"/>
      <c r="BC857" s="34"/>
    </row>
    <row r="858" spans="3:55" ht="13" customHeight="1">
      <c r="C858" s="2" t="s">
        <v>347</v>
      </c>
      <c r="J858" s="121" t="s">
        <v>1655</v>
      </c>
      <c r="K858" s="5"/>
      <c r="L858" s="5"/>
      <c r="M858" s="5"/>
      <c r="N858" s="5"/>
      <c r="O858" s="5"/>
      <c r="P858" s="5"/>
      <c r="Q858" s="5"/>
      <c r="R858" s="5"/>
      <c r="S858" s="5"/>
      <c r="T858" s="1634">
        <v>2</v>
      </c>
      <c r="U858" s="1635"/>
      <c r="V858" s="1636"/>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29">
        <v>128000</v>
      </c>
      <c r="X859" s="1630"/>
      <c r="Y859" s="1630"/>
      <c r="Z859" s="1630"/>
      <c r="AA859" s="1630"/>
      <c r="AB859" s="1630"/>
      <c r="AC859" s="1631"/>
      <c r="AD859" s="533"/>
      <c r="AZ859" s="34"/>
      <c r="BA859" s="34"/>
      <c r="BB859" s="34"/>
      <c r="BC859" s="34"/>
    </row>
    <row r="860" spans="3:55" ht="13" customHeight="1">
      <c r="C860" s="2"/>
      <c r="J860" s="121" t="s">
        <v>1656</v>
      </c>
      <c r="K860" s="5"/>
      <c r="L860" s="5"/>
      <c r="M860" s="5"/>
      <c r="N860" s="5"/>
      <c r="O860" s="5"/>
      <c r="P860" s="5"/>
      <c r="Q860" s="5"/>
      <c r="R860" s="5"/>
      <c r="S860" s="5"/>
      <c r="T860" s="1634">
        <v>2</v>
      </c>
      <c r="U860" s="1635"/>
      <c r="V860" s="1636"/>
      <c r="W860" s="874"/>
      <c r="X860" s="875"/>
      <c r="Y860" s="875"/>
      <c r="Z860" s="875"/>
      <c r="AA860" s="875"/>
      <c r="AB860" s="875"/>
      <c r="AC860" s="876"/>
      <c r="AD860" s="533"/>
      <c r="AZ860" s="34"/>
      <c r="BA860" s="34"/>
      <c r="BB860" s="34"/>
      <c r="BC860" s="34"/>
    </row>
    <row r="861" spans="3:55" ht="13" customHeight="1">
      <c r="J861" s="45" t="s">
        <v>170</v>
      </c>
      <c r="K861" s="5"/>
      <c r="L861" s="5"/>
      <c r="M861" s="1382" t="s">
        <v>2719</v>
      </c>
      <c r="N861" s="1383"/>
      <c r="O861" s="1383"/>
      <c r="P861" s="1383"/>
      <c r="Q861" s="1383"/>
      <c r="R861" s="1383"/>
      <c r="S861" s="1383"/>
      <c r="T861" s="1383"/>
      <c r="U861" s="1383"/>
      <c r="V861" s="1384"/>
      <c r="W861" s="1629">
        <v>120291</v>
      </c>
      <c r="X861" s="1630"/>
      <c r="Y861" s="1630"/>
      <c r="Z861" s="1630"/>
      <c r="AA861" s="1630"/>
      <c r="AB861" s="1630"/>
      <c r="AC861" s="1631"/>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37">
        <f>SUM(W857:W861)</f>
        <v>417357</v>
      </c>
      <c r="X862" s="1638"/>
      <c r="Y862" s="1638"/>
      <c r="Z862" s="1638"/>
      <c r="AA862" s="1638"/>
      <c r="AB862" s="1638"/>
      <c r="AC862" s="1639"/>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29">
        <v>105022</v>
      </c>
      <c r="X863" s="1630"/>
      <c r="Y863" s="1630"/>
      <c r="Z863" s="1630"/>
      <c r="AA863" s="1630"/>
      <c r="AB863" s="1630"/>
      <c r="AC863" s="1631"/>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368"/>
      <c r="X865" s="1368"/>
      <c r="Y865" s="1368"/>
      <c r="Z865" s="1368"/>
      <c r="AA865" s="1368"/>
      <c r="AB865" s="1368"/>
      <c r="AC865" s="1368"/>
      <c r="AU865" s="14"/>
      <c r="AZ865" s="34"/>
      <c r="BA865" s="34"/>
      <c r="BB865" s="34"/>
      <c r="BC865" s="34"/>
    </row>
    <row r="866" spans="3:55" ht="13" customHeight="1">
      <c r="J866" s="45" t="s">
        <v>522</v>
      </c>
      <c r="K866" s="5"/>
      <c r="L866" s="5"/>
      <c r="M866" s="5"/>
      <c r="N866" s="5"/>
      <c r="O866" s="5"/>
      <c r="P866" s="5"/>
      <c r="Q866" s="5"/>
      <c r="R866" s="5"/>
      <c r="S866" s="5"/>
      <c r="T866" s="5"/>
      <c r="U866" s="5"/>
      <c r="V866" s="46"/>
      <c r="W866" s="1368">
        <v>125000</v>
      </c>
      <c r="X866" s="1368"/>
      <c r="Y866" s="1368"/>
      <c r="Z866" s="1368"/>
      <c r="AA866" s="1368"/>
      <c r="AB866" s="1368"/>
      <c r="AC866" s="1368"/>
      <c r="AU866" s="4"/>
      <c r="AZ866" s="34"/>
      <c r="BA866" s="34"/>
      <c r="BB866" s="34"/>
      <c r="BC866" s="34"/>
    </row>
    <row r="867" spans="3:55" ht="13" customHeight="1">
      <c r="J867" s="45" t="s">
        <v>521</v>
      </c>
      <c r="K867" s="5"/>
      <c r="L867" s="5"/>
      <c r="M867" s="5"/>
      <c r="N867" s="5"/>
      <c r="O867" s="5"/>
      <c r="P867" s="5"/>
      <c r="Q867" s="5"/>
      <c r="R867" s="5"/>
      <c r="S867" s="5"/>
      <c r="T867" s="5"/>
      <c r="U867" s="5"/>
      <c r="V867" s="46"/>
      <c r="W867" s="1368">
        <v>30000</v>
      </c>
      <c r="X867" s="1368"/>
      <c r="Y867" s="1368"/>
      <c r="Z867" s="1368"/>
      <c r="AA867" s="1368"/>
      <c r="AB867" s="1368"/>
      <c r="AC867" s="1368"/>
      <c r="AU867" s="4"/>
      <c r="AZ867" s="34"/>
      <c r="BA867" s="34"/>
      <c r="BB867" s="34"/>
      <c r="BC867" s="34"/>
    </row>
    <row r="868" spans="3:55" ht="13" customHeight="1">
      <c r="J868" s="45" t="s">
        <v>520</v>
      </c>
      <c r="K868" s="5"/>
      <c r="L868" s="5"/>
      <c r="M868" s="5"/>
      <c r="N868" s="5"/>
      <c r="O868" s="5"/>
      <c r="P868" s="5"/>
      <c r="Q868" s="5"/>
      <c r="R868" s="5"/>
      <c r="S868" s="5"/>
      <c r="T868" s="5"/>
      <c r="U868" s="5"/>
      <c r="V868" s="46"/>
      <c r="W868" s="1368">
        <v>10000</v>
      </c>
      <c r="X868" s="1368"/>
      <c r="Y868" s="1368"/>
      <c r="Z868" s="1368"/>
      <c r="AA868" s="1368"/>
      <c r="AB868" s="1368"/>
      <c r="AC868" s="1368"/>
      <c r="AU868" s="4"/>
      <c r="AZ868" s="34"/>
      <c r="BA868" s="34"/>
      <c r="BB868" s="34"/>
      <c r="BC868" s="34"/>
    </row>
    <row r="869" spans="3:55" ht="13" customHeight="1">
      <c r="J869" s="45" t="s">
        <v>519</v>
      </c>
      <c r="K869" s="5"/>
      <c r="L869" s="5"/>
      <c r="M869" s="5"/>
      <c r="N869" s="5"/>
      <c r="O869" s="5"/>
      <c r="P869" s="5"/>
      <c r="Q869" s="5"/>
      <c r="R869" s="5"/>
      <c r="S869" s="5"/>
      <c r="T869" s="5"/>
      <c r="U869" s="5"/>
      <c r="V869" s="46"/>
      <c r="W869" s="1368">
        <v>35000</v>
      </c>
      <c r="X869" s="1368"/>
      <c r="Y869" s="1368"/>
      <c r="Z869" s="1368"/>
      <c r="AA869" s="1368"/>
      <c r="AB869" s="1368"/>
      <c r="AC869" s="1368"/>
      <c r="AU869" s="4"/>
      <c r="AZ869" s="34"/>
      <c r="BA869" s="34"/>
      <c r="BB869" s="34"/>
      <c r="BC869" s="34"/>
    </row>
    <row r="870" spans="3:55" ht="13" customHeight="1">
      <c r="J870" s="45" t="s">
        <v>518</v>
      </c>
      <c r="K870" s="5"/>
      <c r="L870" s="5"/>
      <c r="M870" s="5"/>
      <c r="N870" s="5"/>
      <c r="O870" s="5"/>
      <c r="P870" s="5"/>
      <c r="Q870" s="5"/>
      <c r="R870" s="5"/>
      <c r="S870" s="5"/>
      <c r="T870" s="5"/>
      <c r="U870" s="5"/>
      <c r="V870" s="46"/>
      <c r="W870" s="1368">
        <v>24000</v>
      </c>
      <c r="X870" s="1368"/>
      <c r="Y870" s="1368"/>
      <c r="Z870" s="1368"/>
      <c r="AA870" s="1368"/>
      <c r="AB870" s="1368"/>
      <c r="AC870" s="1368"/>
      <c r="AU870" s="4"/>
      <c r="AZ870" s="34"/>
      <c r="BA870" s="34"/>
      <c r="BB870" s="34"/>
      <c r="BC870" s="34"/>
    </row>
    <row r="871" spans="3:55" ht="13" customHeight="1">
      <c r="J871" s="45" t="s">
        <v>170</v>
      </c>
      <c r="K871" s="5"/>
      <c r="L871" s="5"/>
      <c r="M871" s="1382" t="s">
        <v>2658</v>
      </c>
      <c r="N871" s="1383"/>
      <c r="O871" s="1383"/>
      <c r="P871" s="1383"/>
      <c r="Q871" s="1383"/>
      <c r="R871" s="1383"/>
      <c r="S871" s="1383"/>
      <c r="T871" s="1383"/>
      <c r="U871" s="1383"/>
      <c r="V871" s="1384"/>
      <c r="W871" s="1368">
        <v>4000</v>
      </c>
      <c r="X871" s="1368"/>
      <c r="Y871" s="1368"/>
      <c r="Z871" s="1368"/>
      <c r="AA871" s="1368"/>
      <c r="AB871" s="1368"/>
      <c r="AC871" s="136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372">
        <f>SUM(W865:W871)</f>
        <v>228000</v>
      </c>
      <c r="X872" s="1372"/>
      <c r="Y872" s="1372"/>
      <c r="Z872" s="1372"/>
      <c r="AA872" s="1372"/>
      <c r="AB872" s="1372"/>
      <c r="AC872" s="137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382" t="s">
        <v>334</v>
      </c>
      <c r="N874" s="1383"/>
      <c r="O874" s="1383"/>
      <c r="P874" s="1383"/>
      <c r="Q874" s="1383"/>
      <c r="R874" s="1383"/>
      <c r="S874" s="1383"/>
      <c r="T874" s="1383"/>
      <c r="U874" s="1383"/>
      <c r="V874" s="1384"/>
      <c r="W874" s="1378"/>
      <c r="X874" s="1358"/>
      <c r="Y874" s="1358"/>
      <c r="Z874" s="1358"/>
      <c r="AA874" s="1358"/>
      <c r="AB874" s="1358"/>
      <c r="AC874" s="1359"/>
      <c r="AD874" s="533"/>
      <c r="AV874" s="14"/>
      <c r="AW874" s="14"/>
      <c r="AX874" s="14"/>
      <c r="AY874" s="14"/>
      <c r="AZ874" s="34"/>
      <c r="BA874" s="34"/>
      <c r="BB874" s="34"/>
      <c r="BC874" s="34"/>
    </row>
    <row r="875" spans="3:55" ht="13" customHeight="1">
      <c r="C875" s="2" t="s">
        <v>1244</v>
      </c>
      <c r="J875" s="45" t="s">
        <v>170</v>
      </c>
      <c r="K875" s="5"/>
      <c r="L875" s="5"/>
      <c r="M875" s="1382" t="s">
        <v>334</v>
      </c>
      <c r="N875" s="1383"/>
      <c r="O875" s="1383"/>
      <c r="P875" s="1383"/>
      <c r="Q875" s="1383"/>
      <c r="R875" s="1383"/>
      <c r="S875" s="1383"/>
      <c r="T875" s="1383"/>
      <c r="U875" s="1383"/>
      <c r="V875" s="1384"/>
      <c r="W875" s="1378"/>
      <c r="X875" s="1358"/>
      <c r="Y875" s="1358"/>
      <c r="Z875" s="1358"/>
      <c r="AA875" s="1358"/>
      <c r="AB875" s="1358"/>
      <c r="AC875" s="1359"/>
      <c r="AD875" s="533"/>
      <c r="AV875" s="14"/>
      <c r="AW875" s="14"/>
      <c r="AX875" s="14"/>
      <c r="AY875" s="14"/>
      <c r="AZ875" s="34"/>
      <c r="BA875" s="34"/>
      <c r="BB875" s="34"/>
      <c r="BC875" s="34"/>
    </row>
    <row r="876" spans="3:55" ht="13" customHeight="1">
      <c r="J876" s="45" t="s">
        <v>170</v>
      </c>
      <c r="K876" s="5"/>
      <c r="L876" s="5"/>
      <c r="M876" s="1382" t="s">
        <v>334</v>
      </c>
      <c r="N876" s="1383"/>
      <c r="O876" s="1383"/>
      <c r="P876" s="1383"/>
      <c r="Q876" s="1383"/>
      <c r="R876" s="1383"/>
      <c r="S876" s="1383"/>
      <c r="T876" s="1383"/>
      <c r="U876" s="1383"/>
      <c r="V876" s="1384"/>
      <c r="W876" s="1378"/>
      <c r="X876" s="1358"/>
      <c r="Y876" s="1358"/>
      <c r="Z876" s="1358"/>
      <c r="AA876" s="1358"/>
      <c r="AB876" s="1358"/>
      <c r="AC876" s="135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382" t="s">
        <v>334</v>
      </c>
      <c r="N877" s="1383"/>
      <c r="O877" s="1383"/>
      <c r="P877" s="1383"/>
      <c r="Q877" s="1383"/>
      <c r="R877" s="1383"/>
      <c r="S877" s="1383"/>
      <c r="T877" s="1383"/>
      <c r="U877" s="1383"/>
      <c r="V877" s="1384"/>
      <c r="W877" s="1378"/>
      <c r="X877" s="1358"/>
      <c r="Y877" s="1358"/>
      <c r="Z877" s="1358"/>
      <c r="AA877" s="1358"/>
      <c r="AB877" s="1358"/>
      <c r="AC877" s="135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382" t="s">
        <v>334</v>
      </c>
      <c r="N878" s="1383"/>
      <c r="O878" s="1383"/>
      <c r="P878" s="1383"/>
      <c r="Q878" s="1383"/>
      <c r="R878" s="1383"/>
      <c r="S878" s="1383"/>
      <c r="T878" s="1383"/>
      <c r="U878" s="1383"/>
      <c r="V878" s="1384"/>
      <c r="W878" s="1378"/>
      <c r="X878" s="1358"/>
      <c r="Y878" s="1358"/>
      <c r="Z878" s="1358"/>
      <c r="AA878" s="1358"/>
      <c r="AB878" s="1358"/>
      <c r="AC878" s="135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98">
        <f>SUM(W874:W878)</f>
        <v>0</v>
      </c>
      <c r="X879" s="1499"/>
      <c r="Y879" s="1499"/>
      <c r="Z879" s="1499"/>
      <c r="AA879" s="1499"/>
      <c r="AB879" s="1499"/>
      <c r="AC879" s="1500"/>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99">
        <f>W847+W855+W862+W863+W872+W879+W849</f>
        <v>1300722</v>
      </c>
      <c r="AD883" s="1499"/>
      <c r="AE883" s="1499"/>
      <c r="AF883" s="1499"/>
      <c r="AG883" s="1499"/>
      <c r="AH883" s="150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366">
        <f>O797+O777+G753</f>
        <v>200</v>
      </c>
      <c r="AD884" s="1366"/>
      <c r="AE884" s="1366"/>
      <c r="AF884" s="1366"/>
      <c r="AG884" s="1366"/>
      <c r="AH884" s="1367"/>
      <c r="AL884" s="4"/>
      <c r="AM884" s="4"/>
      <c r="AN884" s="4"/>
      <c r="AO884" s="4"/>
      <c r="AP884" s="4"/>
      <c r="AQ884" s="4"/>
      <c r="AR884" s="4"/>
      <c r="AS884" s="4"/>
      <c r="AT884" s="4"/>
      <c r="AZ884" s="34"/>
      <c r="BA884" s="34"/>
      <c r="BB884" s="34"/>
      <c r="BC884" s="34"/>
    </row>
    <row r="885" spans="3:55" ht="13"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372">
        <f>IF(ISERROR((ROUNDDOWN(AC883/AC884,0))),0,(ROUNDDOWN(AC883/AC884,0)))</f>
        <v>6503</v>
      </c>
      <c r="AD885" s="1372"/>
      <c r="AE885" s="1372"/>
      <c r="AF885" s="1372"/>
      <c r="AG885" s="1372"/>
      <c r="AH885" s="137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0">
        <v>1104837</v>
      </c>
      <c r="AD886" s="1661"/>
      <c r="AE886" s="1661"/>
      <c r="AF886" s="1661"/>
      <c r="AG886" s="1661"/>
      <c r="AH886" s="166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59"/>
      <c r="AD887" s="1368"/>
      <c r="AE887" s="1368"/>
      <c r="AF887" s="1368"/>
      <c r="AG887" s="1368"/>
      <c r="AH887" s="136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58">
        <v>27420</v>
      </c>
      <c r="AD888" s="1358"/>
      <c r="AE888" s="1358"/>
      <c r="AF888" s="1358"/>
      <c r="AG888" s="1358"/>
      <c r="AH888" s="135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8">
        <v>60000</v>
      </c>
      <c r="AD889" s="1358"/>
      <c r="AE889" s="1358"/>
      <c r="AF889" s="1358"/>
      <c r="AG889" s="1358"/>
      <c r="AH889" s="135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361"/>
      <c r="AD890" s="1362"/>
      <c r="AE890" s="1362"/>
      <c r="AF890" s="1362"/>
      <c r="AG890" s="1362"/>
      <c r="AH890" s="1363"/>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8"/>
      <c r="AD891" s="1358"/>
      <c r="AE891" s="1358"/>
      <c r="AF891" s="1358"/>
      <c r="AG891" s="1358"/>
      <c r="AH891" s="1359"/>
      <c r="AZ891" s="34"/>
      <c r="BA891" s="34"/>
      <c r="BB891" s="34"/>
      <c r="BC891" s="34"/>
    </row>
    <row r="892" spans="3:55" ht="13" hidden="1" customHeight="1">
      <c r="C892" s="1336" t="s">
        <v>2232</v>
      </c>
      <c r="D892" s="1337"/>
      <c r="E892" s="1337"/>
      <c r="F892" s="1337"/>
      <c r="G892" s="1337"/>
      <c r="H892" s="1337"/>
      <c r="I892" s="1337"/>
      <c r="J892" s="1337"/>
      <c r="K892" s="1337"/>
      <c r="L892" s="1337"/>
      <c r="M892" s="1337"/>
      <c r="N892" s="1337"/>
      <c r="O892" s="1337"/>
      <c r="P892" s="1337"/>
      <c r="Q892" s="1337"/>
      <c r="R892" s="1337"/>
      <c r="S892" s="1337"/>
      <c r="T892" s="1337"/>
      <c r="U892" s="1337"/>
      <c r="V892" s="1337"/>
      <c r="W892" s="1337"/>
      <c r="X892" s="1337"/>
      <c r="Y892" s="1337"/>
      <c r="Z892" s="1337"/>
      <c r="AA892" s="1337"/>
      <c r="AB892" s="1338"/>
      <c r="AC892" s="1358"/>
      <c r="AD892" s="1358"/>
      <c r="AE892" s="1358"/>
      <c r="AF892" s="1358"/>
      <c r="AG892" s="1358"/>
      <c r="AH892" s="135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58"/>
      <c r="AD893" s="1358"/>
      <c r="AE893" s="1358"/>
      <c r="AF893" s="1358"/>
      <c r="AG893" s="1358"/>
      <c r="AH893" s="1359"/>
      <c r="AZ893" s="34"/>
      <c r="BA893" s="34"/>
      <c r="BB893" s="34"/>
      <c r="BC893" s="34"/>
    </row>
    <row r="894" spans="3:55" ht="13" customHeight="1">
      <c r="C894" s="1706" t="s">
        <v>956</v>
      </c>
      <c r="D894" s="1707"/>
      <c r="E894" s="1707"/>
      <c r="F894" s="1707"/>
      <c r="G894" s="1707"/>
      <c r="H894" s="1707"/>
      <c r="I894" s="1707"/>
      <c r="J894" s="1707"/>
      <c r="K894" s="1707"/>
      <c r="L894" s="1707"/>
      <c r="M894" s="1707"/>
      <c r="N894" s="1707"/>
      <c r="O894" s="1707"/>
      <c r="P894" s="1707"/>
      <c r="Q894" s="1707"/>
      <c r="R894" s="1707"/>
      <c r="S894" s="1707"/>
      <c r="T894" s="1707"/>
      <c r="U894" s="1707"/>
      <c r="V894" s="1707"/>
      <c r="W894" s="1707"/>
      <c r="X894" s="1707"/>
      <c r="Y894" s="1707"/>
      <c r="Z894" s="1707"/>
      <c r="AA894" s="1707"/>
      <c r="AB894" s="1708"/>
      <c r="AC894" s="1368"/>
      <c r="AD894" s="1368"/>
      <c r="AE894" s="1368"/>
      <c r="AF894" s="1368"/>
      <c r="AG894" s="1368"/>
      <c r="AH894" s="1368"/>
      <c r="AZ894" s="34"/>
      <c r="BA894" s="34"/>
      <c r="BB894" s="34"/>
      <c r="BC894" s="34"/>
    </row>
    <row r="895" spans="3:55" ht="13" customHeight="1">
      <c r="C895" s="1706" t="s">
        <v>956</v>
      </c>
      <c r="D895" s="1707"/>
      <c r="E895" s="1707"/>
      <c r="F895" s="1707"/>
      <c r="G895" s="1707"/>
      <c r="H895" s="1707"/>
      <c r="I895" s="1707"/>
      <c r="J895" s="1707"/>
      <c r="K895" s="1707"/>
      <c r="L895" s="1707"/>
      <c r="M895" s="1707"/>
      <c r="N895" s="1707"/>
      <c r="O895" s="1707"/>
      <c r="P895" s="1707"/>
      <c r="Q895" s="1707"/>
      <c r="R895" s="1707"/>
      <c r="S895" s="1707"/>
      <c r="T895" s="1707"/>
      <c r="U895" s="1707"/>
      <c r="V895" s="1707"/>
      <c r="W895" s="1707"/>
      <c r="X895" s="1707"/>
      <c r="Y895" s="1707"/>
      <c r="Z895" s="1707"/>
      <c r="AA895" s="1707"/>
      <c r="AB895" s="1708"/>
      <c r="AC895" s="1368"/>
      <c r="AD895" s="1368"/>
      <c r="AE895" s="1368"/>
      <c r="AF895" s="1368"/>
      <c r="AG895" s="1368"/>
      <c r="AH895" s="136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378"/>
      <c r="AA899" s="1358"/>
      <c r="AB899" s="1358"/>
      <c r="AC899" s="1358"/>
      <c r="AD899" s="1358"/>
      <c r="AE899" s="1359"/>
      <c r="AF899" s="533"/>
      <c r="AZ899" s="34"/>
      <c r="BB899" s="30"/>
      <c r="BC899" s="816"/>
      <c r="BD899" s="1365"/>
      <c r="BE899" s="1365"/>
      <c r="BF899" s="14"/>
    </row>
    <row r="900" spans="1:58" ht="13" customHeight="1">
      <c r="H900" s="121" t="s">
        <v>239</v>
      </c>
      <c r="I900" s="5"/>
      <c r="J900" s="5"/>
      <c r="K900" s="5"/>
      <c r="L900" s="5"/>
      <c r="M900" s="5"/>
      <c r="N900" s="5"/>
      <c r="O900" s="5"/>
      <c r="P900" s="5"/>
      <c r="Q900" s="5"/>
      <c r="R900" s="5"/>
      <c r="S900" s="5"/>
      <c r="T900" s="5"/>
      <c r="U900" s="5"/>
      <c r="V900" s="5"/>
      <c r="W900" s="5"/>
      <c r="X900" s="5"/>
      <c r="Y900" s="5"/>
      <c r="Z900" s="1378"/>
      <c r="AA900" s="1358"/>
      <c r="AB900" s="1358"/>
      <c r="AC900" s="1358"/>
      <c r="AD900" s="1358"/>
      <c r="AE900" s="1359"/>
      <c r="AZ900" s="34"/>
      <c r="BB900" s="30"/>
      <c r="BC900" s="816"/>
      <c r="BD900" s="1365"/>
      <c r="BE900" s="1365"/>
      <c r="BF900" s="14"/>
    </row>
    <row r="901" spans="1:58" ht="13" customHeight="1">
      <c r="H901" s="121" t="s">
        <v>240</v>
      </c>
      <c r="I901" s="5"/>
      <c r="J901" s="5"/>
      <c r="K901" s="5"/>
      <c r="L901" s="5"/>
      <c r="M901" s="5"/>
      <c r="N901" s="5"/>
      <c r="O901" s="5"/>
      <c r="P901" s="5"/>
      <c r="Q901" s="5"/>
      <c r="R901" s="5"/>
      <c r="S901" s="5"/>
      <c r="T901" s="5"/>
      <c r="U901" s="5"/>
      <c r="V901" s="5"/>
      <c r="W901" s="5"/>
      <c r="X901" s="5"/>
      <c r="Y901" s="5"/>
      <c r="Z901" s="1378"/>
      <c r="AA901" s="1358"/>
      <c r="AB901" s="1358"/>
      <c r="AC901" s="1358"/>
      <c r="AD901" s="1358"/>
      <c r="AE901" s="1359"/>
      <c r="AZ901" s="34"/>
      <c r="BB901" s="30"/>
      <c r="BC901" s="816"/>
      <c r="BD901" s="1364"/>
      <c r="BE901" s="1364"/>
      <c r="BF901" s="14"/>
    </row>
    <row r="902" spans="1:58" ht="13" customHeight="1">
      <c r="H902" s="45"/>
      <c r="I902" s="5"/>
      <c r="J902" s="5"/>
      <c r="K902" s="5"/>
      <c r="L902" s="5"/>
      <c r="M902" s="5"/>
      <c r="N902" s="5"/>
      <c r="O902" s="5"/>
      <c r="P902" s="5"/>
      <c r="Q902" s="5"/>
      <c r="R902" s="5"/>
      <c r="S902" s="5"/>
      <c r="T902" s="5"/>
      <c r="U902" s="5"/>
      <c r="V902" s="5"/>
      <c r="W902" s="5"/>
      <c r="X902" s="5"/>
      <c r="Y902" s="181" t="s">
        <v>241</v>
      </c>
      <c r="Z902" s="1498">
        <f>Z899-(Z900+Z901)</f>
        <v>0</v>
      </c>
      <c r="AA902" s="1499"/>
      <c r="AB902" s="1499"/>
      <c r="AC902" s="1499"/>
      <c r="AD902" s="1499"/>
      <c r="AE902" s="1500"/>
      <c r="AZ902" s="34"/>
      <c r="BB902" s="30"/>
      <c r="BC902" s="816"/>
      <c r="BD902" s="1364"/>
      <c r="BE902" s="1364"/>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364"/>
      <c r="BE903" s="1364"/>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365"/>
      <c r="BE904" s="1364"/>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3"/>
      <c r="BE905" s="1653"/>
      <c r="BF905" s="1653"/>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2"/>
      <c r="BE906" s="1652"/>
      <c r="BF906" s="1652"/>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364"/>
      <c r="BE907" s="136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365"/>
      <c r="BE908" s="1364"/>
      <c r="BF908" s="14"/>
    </row>
    <row r="909" spans="1:58" ht="13" customHeight="1">
      <c r="AZ909" s="34"/>
      <c r="BB909" s="30"/>
      <c r="BC909" s="816"/>
    </row>
    <row r="910" spans="1:58" ht="13" customHeight="1">
      <c r="A910" s="1558" t="s">
        <v>96</v>
      </c>
      <c r="B910" s="1558"/>
      <c r="C910" s="1558"/>
      <c r="D910" s="1558"/>
      <c r="E910" s="1558"/>
      <c r="F910" s="1558"/>
      <c r="G910" s="1558"/>
      <c r="H910" s="1558"/>
      <c r="I910" s="1558"/>
      <c r="J910" s="1558"/>
      <c r="K910" s="1558"/>
      <c r="L910" s="1558"/>
      <c r="M910" s="1558"/>
      <c r="N910" s="1558"/>
      <c r="O910" s="1558"/>
      <c r="P910" s="1558"/>
      <c r="Q910" s="1558"/>
      <c r="R910" s="1558"/>
      <c r="S910" s="1558"/>
      <c r="T910" s="1558"/>
      <c r="U910" s="1558"/>
      <c r="V910" s="1558"/>
      <c r="W910" s="1558"/>
      <c r="X910" s="1558"/>
      <c r="Y910" s="1558"/>
      <c r="Z910" s="1558"/>
      <c r="AA910" s="1558"/>
      <c r="AB910" s="1558"/>
      <c r="AC910" s="1558"/>
      <c r="AD910" s="1558"/>
      <c r="AE910" s="1558"/>
      <c r="AF910" s="1558"/>
      <c r="AG910" s="1558"/>
      <c r="AH910" s="1558"/>
      <c r="AI910" s="1558"/>
      <c r="AJ910" s="1558"/>
      <c r="AK910" s="1558"/>
      <c r="AL910" s="1558"/>
      <c r="AM910" s="1558"/>
      <c r="AN910" s="1558"/>
      <c r="AO910" s="1558"/>
      <c r="AP910" s="1558"/>
      <c r="AQ910" s="1558"/>
      <c r="AR910" s="1558"/>
      <c r="AS910" s="1558"/>
      <c r="AT910" s="1558"/>
      <c r="AZ910" s="34"/>
      <c r="BA910" s="34"/>
      <c r="BB910" s="30"/>
      <c r="BC910" s="30"/>
      <c r="BD910" s="1365"/>
      <c r="BE910" s="1364"/>
      <c r="BF910" s="911"/>
    </row>
    <row r="911" spans="1:58" ht="13" customHeight="1">
      <c r="A911" s="1558"/>
      <c r="B911" s="1558"/>
      <c r="C911" s="1558"/>
      <c r="D911" s="1558"/>
      <c r="E911" s="1558"/>
      <c r="F911" s="1558"/>
      <c r="G911" s="1558"/>
      <c r="H911" s="1558"/>
      <c r="I911" s="1558"/>
      <c r="J911" s="1558"/>
      <c r="K911" s="1558"/>
      <c r="L911" s="1558"/>
      <c r="M911" s="1558"/>
      <c r="N911" s="1558"/>
      <c r="O911" s="1558"/>
      <c r="P911" s="1558"/>
      <c r="Q911" s="1558"/>
      <c r="R911" s="1558"/>
      <c r="S911" s="1558"/>
      <c r="T911" s="1558"/>
      <c r="U911" s="1558"/>
      <c r="V911" s="1558"/>
      <c r="W911" s="1558"/>
      <c r="X911" s="1558"/>
      <c r="Y911" s="1558"/>
      <c r="Z911" s="1558"/>
      <c r="AA911" s="1558"/>
      <c r="AB911" s="1558"/>
      <c r="AC911" s="1558"/>
      <c r="AD911" s="1558"/>
      <c r="AE911" s="1558"/>
      <c r="AF911" s="1558"/>
      <c r="AG911" s="1558"/>
      <c r="AH911" s="1558"/>
      <c r="AI911" s="1558"/>
      <c r="AJ911" s="1558"/>
      <c r="AK911" s="1558"/>
      <c r="AL911" s="1558"/>
      <c r="AM911" s="1558"/>
      <c r="AN911" s="1558"/>
      <c r="AO911" s="1558"/>
      <c r="AP911" s="1558"/>
      <c r="AQ911" s="1558"/>
      <c r="AR911" s="1558"/>
      <c r="AS911" s="1558"/>
      <c r="AT911" s="1558"/>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99" t="s">
        <v>792</v>
      </c>
      <c r="G915" s="1700"/>
      <c r="H915" s="1700"/>
      <c r="I915" s="1700"/>
      <c r="J915" s="1700"/>
      <c r="K915" s="1700"/>
      <c r="L915" s="1700"/>
      <c r="M915" s="1700"/>
      <c r="N915" s="1700"/>
      <c r="O915" s="1700"/>
      <c r="P915" s="1700"/>
      <c r="Q915" s="1700"/>
      <c r="R915" s="1700"/>
      <c r="S915" s="1700"/>
      <c r="T915" s="1701"/>
      <c r="U915" s="1722" t="s">
        <v>31</v>
      </c>
      <c r="V915" s="1643"/>
      <c r="W915" s="1643"/>
      <c r="X915" s="1643"/>
      <c r="Y915" s="1643"/>
      <c r="Z915" s="1643"/>
      <c r="AA915" s="43"/>
      <c r="AB915" s="105"/>
      <c r="AC915" s="105"/>
      <c r="AD915" s="105"/>
      <c r="AE915" s="105"/>
      <c r="AF915" s="106"/>
      <c r="AZ915" s="34"/>
      <c r="BA915" s="34"/>
      <c r="BB915" s="34"/>
      <c r="BC915" s="34"/>
    </row>
    <row r="916" spans="1:58" ht="13" customHeight="1">
      <c r="B916" s="2"/>
      <c r="F916" s="1702" t="s">
        <v>818</v>
      </c>
      <c r="G916" s="1703"/>
      <c r="H916" s="1703"/>
      <c r="I916" s="1703"/>
      <c r="J916" s="1703"/>
      <c r="K916" s="1703"/>
      <c r="L916" s="1703"/>
      <c r="M916" s="1703"/>
      <c r="N916" s="1703"/>
      <c r="O916" s="1703"/>
      <c r="P916" s="1703"/>
      <c r="Q916" s="1703"/>
      <c r="R916" s="1703"/>
      <c r="S916" s="1703"/>
      <c r="T916" s="1704"/>
      <c r="U916" s="1702"/>
      <c r="V916" s="1703"/>
      <c r="W916" s="1703"/>
      <c r="X916" s="1703"/>
      <c r="Y916" s="1703"/>
      <c r="Z916" s="1703"/>
      <c r="AA916" s="44"/>
      <c r="AB916" s="4"/>
      <c r="AC916" s="4"/>
      <c r="AD916" s="4"/>
      <c r="AE916" s="4"/>
      <c r="AF916" s="107"/>
      <c r="AZ916" s="34"/>
      <c r="BA916" s="34"/>
      <c r="BB916" s="34"/>
      <c r="BC916" s="34"/>
    </row>
    <row r="917" spans="1:58" ht="13" customHeight="1">
      <c r="B917" s="2"/>
      <c r="F917" s="1705"/>
      <c r="G917" s="1645"/>
      <c r="H917" s="1645"/>
      <c r="I917" s="1645"/>
      <c r="J917" s="1645"/>
      <c r="K917" s="1645"/>
      <c r="L917" s="1645"/>
      <c r="M917" s="1645"/>
      <c r="N917" s="1645"/>
      <c r="O917" s="1645"/>
      <c r="P917" s="1645"/>
      <c r="Q917" s="1645"/>
      <c r="R917" s="1645"/>
      <c r="S917" s="1645"/>
      <c r="T917" s="1646"/>
      <c r="U917" s="1705"/>
      <c r="V917" s="1645"/>
      <c r="W917" s="1645"/>
      <c r="X917" s="1645"/>
      <c r="Y917" s="1645"/>
      <c r="Z917" s="1645"/>
      <c r="AA917" s="108"/>
      <c r="AB917" s="1585" t="s">
        <v>391</v>
      </c>
      <c r="AC917" s="1585"/>
      <c r="AD917" s="1585"/>
      <c r="AE917" s="1585"/>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57" t="s">
        <v>545</v>
      </c>
      <c r="V918" s="1430"/>
      <c r="W918" s="1430"/>
      <c r="X918" s="1430"/>
      <c r="Y918" s="1430"/>
      <c r="Z918" s="1431"/>
      <c r="AA918" s="1658">
        <v>24000000</v>
      </c>
      <c r="AB918" s="1528"/>
      <c r="AC918" s="1528"/>
      <c r="AD918" s="1528"/>
      <c r="AE918" s="1528"/>
      <c r="AF918" s="1659"/>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57" t="s">
        <v>545</v>
      </c>
      <c r="V919" s="1430"/>
      <c r="W919" s="1430"/>
      <c r="X919" s="1430"/>
      <c r="Y919" s="1430"/>
      <c r="Z919" s="1431"/>
      <c r="AA919" s="1658">
        <v>40241426</v>
      </c>
      <c r="AB919" s="1528"/>
      <c r="AC919" s="1528"/>
      <c r="AD919" s="1528"/>
      <c r="AE919" s="1528"/>
      <c r="AF919" s="1659"/>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57" t="s">
        <v>591</v>
      </c>
      <c r="V920" s="1430"/>
      <c r="W920" s="1430"/>
      <c r="X920" s="1430"/>
      <c r="Y920" s="1430"/>
      <c r="Z920" s="1431"/>
      <c r="AA920" s="1658"/>
      <c r="AB920" s="1528"/>
      <c r="AC920" s="1528"/>
      <c r="AD920" s="1528"/>
      <c r="AE920" s="1528"/>
      <c r="AF920" s="1659"/>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57" t="s">
        <v>591</v>
      </c>
      <c r="V921" s="1430"/>
      <c r="W921" s="1430"/>
      <c r="X921" s="1430"/>
      <c r="Y921" s="1430"/>
      <c r="Z921" s="1431"/>
      <c r="AA921" s="1658"/>
      <c r="AB921" s="1528"/>
      <c r="AC921" s="1528"/>
      <c r="AD921" s="1528"/>
      <c r="AE921" s="1528"/>
      <c r="AF921" s="1659"/>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57" t="s">
        <v>591</v>
      </c>
      <c r="V922" s="1430"/>
      <c r="W922" s="1430"/>
      <c r="X922" s="1430"/>
      <c r="Y922" s="1430"/>
      <c r="Z922" s="1431"/>
      <c r="AA922" s="1658"/>
      <c r="AB922" s="1528"/>
      <c r="AC922" s="1528"/>
      <c r="AD922" s="1528"/>
      <c r="AE922" s="1528"/>
      <c r="AF922" s="1659"/>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57" t="s">
        <v>591</v>
      </c>
      <c r="V923" s="1430"/>
      <c r="W923" s="1430"/>
      <c r="X923" s="1430"/>
      <c r="Y923" s="1430"/>
      <c r="Z923" s="1431"/>
      <c r="AA923" s="1658"/>
      <c r="AB923" s="1528"/>
      <c r="AC923" s="1528"/>
      <c r="AD923" s="1528"/>
      <c r="AE923" s="1528"/>
      <c r="AF923" s="1659"/>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57" t="s">
        <v>591</v>
      </c>
      <c r="V924" s="1430"/>
      <c r="W924" s="1430"/>
      <c r="X924" s="1430"/>
      <c r="Y924" s="1430"/>
      <c r="Z924" s="1431"/>
      <c r="AA924" s="1658"/>
      <c r="AB924" s="1528"/>
      <c r="AC924" s="1528"/>
      <c r="AD924" s="1528"/>
      <c r="AE924" s="1528"/>
      <c r="AF924" s="1659"/>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57" t="s">
        <v>591</v>
      </c>
      <c r="V925" s="1430"/>
      <c r="W925" s="1430"/>
      <c r="X925" s="1430"/>
      <c r="Y925" s="1430"/>
      <c r="Z925" s="1431"/>
      <c r="AA925" s="1658"/>
      <c r="AB925" s="1528"/>
      <c r="AC925" s="1528"/>
      <c r="AD925" s="1528"/>
      <c r="AE925" s="1528"/>
      <c r="AF925" s="1659"/>
      <c r="AZ925" s="34"/>
      <c r="BA925" s="34"/>
      <c r="BB925" s="34"/>
      <c r="BC925" s="34"/>
    </row>
    <row r="926" spans="1:58" ht="13" customHeight="1">
      <c r="F926" s="1385" t="s">
        <v>2192</v>
      </c>
      <c r="G926" s="1386"/>
      <c r="H926" s="1386"/>
      <c r="I926" s="1386"/>
      <c r="J926" s="1386"/>
      <c r="K926" s="1386"/>
      <c r="L926" s="1386"/>
      <c r="M926" s="1386"/>
      <c r="N926" s="1386"/>
      <c r="O926" s="1386"/>
      <c r="P926" s="1386"/>
      <c r="Q926" s="1386"/>
      <c r="R926" s="1386"/>
      <c r="S926" s="1386"/>
      <c r="T926" s="1387"/>
      <c r="U926" s="1657" t="s">
        <v>591</v>
      </c>
      <c r="V926" s="1430"/>
      <c r="W926" s="1430"/>
      <c r="X926" s="1430"/>
      <c r="Y926" s="1430"/>
      <c r="Z926" s="1431"/>
      <c r="AA926" s="1658"/>
      <c r="AB926" s="1528"/>
      <c r="AC926" s="1528"/>
      <c r="AD926" s="1528"/>
      <c r="AE926" s="1528"/>
      <c r="AF926" s="1659"/>
      <c r="AZ926" s="34"/>
      <c r="BA926" s="34"/>
      <c r="BB926" s="34"/>
      <c r="BC926" s="34"/>
    </row>
    <row r="927" spans="1:58" ht="13" customHeight="1">
      <c r="F927" s="1385" t="s">
        <v>679</v>
      </c>
      <c r="G927" s="1386"/>
      <c r="H927" s="1386"/>
      <c r="I927" s="1386"/>
      <c r="J927" s="1386"/>
      <c r="K927" s="1386"/>
      <c r="L927" s="1386"/>
      <c r="M927" s="1386"/>
      <c r="N927" s="1386"/>
      <c r="O927" s="1386"/>
      <c r="P927" s="1386"/>
      <c r="Q927" s="1386"/>
      <c r="R927" s="1386"/>
      <c r="S927" s="1386"/>
      <c r="T927" s="1387"/>
      <c r="U927" s="1657" t="s">
        <v>591</v>
      </c>
      <c r="V927" s="1430"/>
      <c r="W927" s="1430"/>
      <c r="X927" s="1430"/>
      <c r="Y927" s="1430"/>
      <c r="Z927" s="1431"/>
      <c r="AA927" s="1658"/>
      <c r="AB927" s="1528"/>
      <c r="AC927" s="1528"/>
      <c r="AD927" s="1528"/>
      <c r="AE927" s="1528"/>
      <c r="AF927" s="1659"/>
      <c r="AU927" s="2"/>
      <c r="AZ927" s="34"/>
      <c r="BA927" s="34"/>
      <c r="BB927" s="34"/>
      <c r="BC927" s="34"/>
    </row>
    <row r="928" spans="1:58" ht="13" customHeight="1">
      <c r="F928" s="1385" t="s">
        <v>2193</v>
      </c>
      <c r="G928" s="1386"/>
      <c r="H928" s="1386"/>
      <c r="I928" s="1386"/>
      <c r="J928" s="1386"/>
      <c r="K928" s="1386"/>
      <c r="L928" s="1386"/>
      <c r="M928" s="1386"/>
      <c r="N928" s="1386"/>
      <c r="O928" s="1386"/>
      <c r="P928" s="1386"/>
      <c r="Q928" s="1386"/>
      <c r="R928" s="1386"/>
      <c r="S928" s="1386"/>
      <c r="T928" s="1387"/>
      <c r="U928" s="1657" t="s">
        <v>591</v>
      </c>
      <c r="V928" s="1430"/>
      <c r="W928" s="1430"/>
      <c r="X928" s="1430"/>
      <c r="Y928" s="1430"/>
      <c r="Z928" s="1431"/>
      <c r="AA928" s="1658"/>
      <c r="AB928" s="1528"/>
      <c r="AC928" s="1528"/>
      <c r="AD928" s="1528"/>
      <c r="AE928" s="1528"/>
      <c r="AF928" s="1659"/>
      <c r="AU928" s="2"/>
      <c r="AZ928" s="34"/>
      <c r="BA928" s="34"/>
      <c r="BB928" s="34"/>
      <c r="BC928" s="34"/>
    </row>
    <row r="929" spans="6:55" ht="13" customHeight="1">
      <c r="F929" s="1385" t="s">
        <v>2194</v>
      </c>
      <c r="G929" s="1386"/>
      <c r="H929" s="1386"/>
      <c r="I929" s="1386"/>
      <c r="J929" s="1386"/>
      <c r="K929" s="1386"/>
      <c r="L929" s="1386"/>
      <c r="M929" s="1386"/>
      <c r="N929" s="1386"/>
      <c r="O929" s="1386"/>
      <c r="P929" s="1386"/>
      <c r="Q929" s="1386"/>
      <c r="R929" s="1386"/>
      <c r="S929" s="1386"/>
      <c r="T929" s="1387"/>
      <c r="U929" s="1657" t="s">
        <v>591</v>
      </c>
      <c r="V929" s="1430"/>
      <c r="W929" s="1430"/>
      <c r="X929" s="1430"/>
      <c r="Y929" s="1430"/>
      <c r="Z929" s="1431"/>
      <c r="AA929" s="1658"/>
      <c r="AB929" s="1528"/>
      <c r="AC929" s="1528"/>
      <c r="AD929" s="1528"/>
      <c r="AE929" s="1528"/>
      <c r="AF929" s="1659"/>
      <c r="AU929" s="2"/>
      <c r="AZ929" s="34"/>
      <c r="BA929" s="34"/>
      <c r="BB929" s="34"/>
      <c r="BC929" s="34"/>
    </row>
    <row r="930" spans="6:55" ht="13" customHeight="1">
      <c r="F930" s="1385" t="s">
        <v>2195</v>
      </c>
      <c r="G930" s="1386"/>
      <c r="H930" s="1386"/>
      <c r="I930" s="1386"/>
      <c r="J930" s="1386"/>
      <c r="K930" s="1386"/>
      <c r="L930" s="1386"/>
      <c r="M930" s="1386"/>
      <c r="N930" s="1386"/>
      <c r="O930" s="1386"/>
      <c r="P930" s="1386"/>
      <c r="Q930" s="1386"/>
      <c r="R930" s="1386"/>
      <c r="S930" s="1386"/>
      <c r="T930" s="1387"/>
      <c r="U930" s="1657" t="s">
        <v>591</v>
      </c>
      <c r="V930" s="1430"/>
      <c r="W930" s="1430"/>
      <c r="X930" s="1430"/>
      <c r="Y930" s="1430"/>
      <c r="Z930" s="1431"/>
      <c r="AA930" s="1658"/>
      <c r="AB930" s="1528"/>
      <c r="AC930" s="1528"/>
      <c r="AD930" s="1528"/>
      <c r="AE930" s="1528"/>
      <c r="AF930" s="1659"/>
      <c r="AU930" s="2"/>
      <c r="AZ930" s="34"/>
      <c r="BA930" s="34"/>
      <c r="BB930" s="34"/>
      <c r="BC930" s="34"/>
    </row>
    <row r="931" spans="6:55" ht="13" customHeight="1">
      <c r="F931" s="1385" t="s">
        <v>2196</v>
      </c>
      <c r="G931" s="1386"/>
      <c r="H931" s="1386"/>
      <c r="I931" s="1386"/>
      <c r="J931" s="1386"/>
      <c r="K931" s="1386"/>
      <c r="L931" s="1386"/>
      <c r="M931" s="1386"/>
      <c r="N931" s="1386"/>
      <c r="O931" s="1386"/>
      <c r="P931" s="1386"/>
      <c r="Q931" s="1386"/>
      <c r="R931" s="1386"/>
      <c r="S931" s="1386"/>
      <c r="T931" s="1387"/>
      <c r="U931" s="1657" t="s">
        <v>591</v>
      </c>
      <c r="V931" s="1430"/>
      <c r="W931" s="1430"/>
      <c r="X931" s="1430"/>
      <c r="Y931" s="1430"/>
      <c r="Z931" s="1431"/>
      <c r="AA931" s="1658"/>
      <c r="AB931" s="1528"/>
      <c r="AC931" s="1528"/>
      <c r="AD931" s="1528"/>
      <c r="AE931" s="1528"/>
      <c r="AF931" s="1659"/>
      <c r="AU931" s="2"/>
      <c r="AZ931" s="34"/>
      <c r="BA931" s="34"/>
      <c r="BB931" s="34"/>
      <c r="BC931" s="34"/>
    </row>
    <row r="932" spans="6:55" ht="13" customHeight="1">
      <c r="F932" s="1385" t="s">
        <v>2197</v>
      </c>
      <c r="G932" s="1386"/>
      <c r="H932" s="1386"/>
      <c r="I932" s="1386"/>
      <c r="J932" s="1386"/>
      <c r="K932" s="1386"/>
      <c r="L932" s="1386"/>
      <c r="M932" s="1386"/>
      <c r="N932" s="1386"/>
      <c r="O932" s="1386"/>
      <c r="P932" s="1386"/>
      <c r="Q932" s="1386"/>
      <c r="R932" s="1386"/>
      <c r="S932" s="1386"/>
      <c r="T932" s="1387"/>
      <c r="U932" s="1657" t="s">
        <v>591</v>
      </c>
      <c r="V932" s="1430"/>
      <c r="W932" s="1430"/>
      <c r="X932" s="1430"/>
      <c r="Y932" s="1430"/>
      <c r="Z932" s="1431"/>
      <c r="AA932" s="1658"/>
      <c r="AB932" s="1528"/>
      <c r="AC932" s="1528"/>
      <c r="AD932" s="1528"/>
      <c r="AE932" s="1528"/>
      <c r="AF932" s="1659"/>
      <c r="AZ932" s="30"/>
      <c r="BA932" s="30"/>
    </row>
    <row r="933" spans="6:55" ht="13" customHeight="1">
      <c r="F933" s="178" t="s">
        <v>676</v>
      </c>
      <c r="G933" s="5"/>
      <c r="H933" s="5"/>
      <c r="I933" s="5"/>
      <c r="J933" s="5"/>
      <c r="K933" s="5"/>
      <c r="L933" s="5"/>
      <c r="M933" s="5"/>
      <c r="N933" s="5"/>
      <c r="O933" s="5"/>
      <c r="P933" s="5"/>
      <c r="Q933" s="5"/>
      <c r="R933" s="5"/>
      <c r="S933" s="5"/>
      <c r="T933" s="46"/>
      <c r="U933" s="1657" t="s">
        <v>591</v>
      </c>
      <c r="V933" s="1430"/>
      <c r="W933" s="1430"/>
      <c r="X933" s="1430"/>
      <c r="Y933" s="1430"/>
      <c r="Z933" s="1431"/>
      <c r="AA933" s="1658"/>
      <c r="AB933" s="1528"/>
      <c r="AC933" s="1528"/>
      <c r="AD933" s="1528"/>
      <c r="AE933" s="1528"/>
      <c r="AF933" s="1659"/>
    </row>
    <row r="934" spans="6:55" ht="13" customHeight="1">
      <c r="F934" s="121" t="s">
        <v>1277</v>
      </c>
      <c r="G934" s="5"/>
      <c r="H934" s="5"/>
      <c r="I934" s="5"/>
      <c r="J934" s="5"/>
      <c r="K934" s="5"/>
      <c r="L934" s="5"/>
      <c r="M934" s="5"/>
      <c r="N934" s="5"/>
      <c r="O934" s="5"/>
      <c r="P934" s="5"/>
      <c r="Q934" s="5"/>
      <c r="R934" s="5"/>
      <c r="S934" s="5"/>
      <c r="T934" s="46"/>
      <c r="U934" s="1657" t="s">
        <v>591</v>
      </c>
      <c r="V934" s="1430"/>
      <c r="W934" s="1430"/>
      <c r="X934" s="1430"/>
      <c r="Y934" s="1430"/>
      <c r="Z934" s="1431"/>
      <c r="AA934" s="1658"/>
      <c r="AB934" s="1528"/>
      <c r="AC934" s="1528"/>
      <c r="AD934" s="1528"/>
      <c r="AE934" s="1528"/>
      <c r="AF934" s="1659"/>
      <c r="AZ934" s="30"/>
      <c r="BA934" s="14"/>
    </row>
    <row r="935" spans="6:55" ht="13" customHeight="1">
      <c r="F935" s="66" t="s">
        <v>802</v>
      </c>
      <c r="G935" s="5"/>
      <c r="H935" s="5"/>
      <c r="I935" s="5"/>
      <c r="J935" s="5"/>
      <c r="K935" s="5"/>
      <c r="L935" s="5"/>
      <c r="M935" s="5"/>
      <c r="N935" s="5"/>
      <c r="O935" s="5"/>
      <c r="P935" s="5"/>
      <c r="Q935" s="5"/>
      <c r="R935" s="5"/>
      <c r="S935" s="5"/>
      <c r="T935" s="46"/>
      <c r="U935" s="1657" t="s">
        <v>591</v>
      </c>
      <c r="V935" s="1430"/>
      <c r="W935" s="1430"/>
      <c r="X935" s="1430"/>
      <c r="Y935" s="1430"/>
      <c r="Z935" s="1431"/>
      <c r="AA935" s="1658"/>
      <c r="AB935" s="1528"/>
      <c r="AC935" s="1528"/>
      <c r="AD935" s="1528"/>
      <c r="AE935" s="1528"/>
      <c r="AF935" s="1659"/>
      <c r="AZ935" s="30"/>
      <c r="BA935" s="14"/>
    </row>
    <row r="936" spans="6:55" ht="13" customHeight="1">
      <c r="F936" s="1654" t="s">
        <v>2201</v>
      </c>
      <c r="G936" s="1655"/>
      <c r="H936" s="1655"/>
      <c r="I936" s="1655"/>
      <c r="J936" s="1655"/>
      <c r="K936" s="1655"/>
      <c r="L936" s="1655"/>
      <c r="M936" s="1655"/>
      <c r="N936" s="1655"/>
      <c r="O936" s="1655"/>
      <c r="P936" s="1655"/>
      <c r="Q936" s="1655"/>
      <c r="R936" s="1655"/>
      <c r="S936" s="1655"/>
      <c r="T936" s="1656"/>
      <c r="U936" s="1657" t="s">
        <v>591</v>
      </c>
      <c r="V936" s="1430"/>
      <c r="W936" s="1430"/>
      <c r="X936" s="1430"/>
      <c r="Y936" s="1430"/>
      <c r="Z936" s="1431"/>
      <c r="AA936" s="1658"/>
      <c r="AB936" s="1528"/>
      <c r="AC936" s="1528"/>
      <c r="AD936" s="1528"/>
      <c r="AE936" s="1528"/>
      <c r="AF936" s="1659"/>
      <c r="AZ936" s="30"/>
      <c r="BA936" s="14"/>
    </row>
    <row r="937" spans="6:55" ht="13" customHeight="1">
      <c r="F937" s="1654" t="s">
        <v>2202</v>
      </c>
      <c r="G937" s="1655"/>
      <c r="H937" s="1655"/>
      <c r="I937" s="1655"/>
      <c r="J937" s="1655"/>
      <c r="K937" s="1655"/>
      <c r="L937" s="1655"/>
      <c r="M937" s="1655"/>
      <c r="N937" s="1655"/>
      <c r="O937" s="1655"/>
      <c r="P937" s="1655"/>
      <c r="Q937" s="1655"/>
      <c r="R937" s="1655"/>
      <c r="S937" s="1655"/>
      <c r="T937" s="1656"/>
      <c r="U937" s="1657" t="s">
        <v>591</v>
      </c>
      <c r="V937" s="1430"/>
      <c r="W937" s="1430"/>
      <c r="X937" s="1430"/>
      <c r="Y937" s="1430"/>
      <c r="Z937" s="1431"/>
      <c r="AA937" s="1658"/>
      <c r="AB937" s="1528"/>
      <c r="AC937" s="1528"/>
      <c r="AD937" s="1528"/>
      <c r="AE937" s="1528"/>
      <c r="AF937" s="1659"/>
      <c r="AZ937" s="30"/>
      <c r="BA937" s="30"/>
    </row>
    <row r="938" spans="6:55" ht="13" customHeight="1">
      <c r="F938" s="1385" t="s">
        <v>2198</v>
      </c>
      <c r="G938" s="1386"/>
      <c r="H938" s="1386"/>
      <c r="I938" s="1386"/>
      <c r="J938" s="1386"/>
      <c r="K938" s="1386"/>
      <c r="L938" s="1386"/>
      <c r="M938" s="1386"/>
      <c r="N938" s="1386"/>
      <c r="O938" s="1386"/>
      <c r="P938" s="1386"/>
      <c r="Q938" s="1386"/>
      <c r="R938" s="1386"/>
      <c r="S938" s="1386"/>
      <c r="T938" s="1387"/>
      <c r="U938" s="1657" t="s">
        <v>591</v>
      </c>
      <c r="V938" s="1430"/>
      <c r="W938" s="1430"/>
      <c r="X938" s="1430"/>
      <c r="Y938" s="1430"/>
      <c r="Z938" s="1431"/>
      <c r="AA938" s="1658"/>
      <c r="AB938" s="1528"/>
      <c r="AC938" s="1528"/>
      <c r="AD938" s="1528"/>
      <c r="AE938" s="1528"/>
      <c r="AF938" s="1659"/>
      <c r="AZ938" s="30"/>
      <c r="BA938" s="30"/>
    </row>
    <row r="939" spans="6:55" ht="13" customHeight="1">
      <c r="F939" s="1385" t="s">
        <v>2199</v>
      </c>
      <c r="G939" s="1386"/>
      <c r="H939" s="1386"/>
      <c r="I939" s="1386"/>
      <c r="J939" s="1386"/>
      <c r="K939" s="1386"/>
      <c r="L939" s="1386"/>
      <c r="M939" s="1386"/>
      <c r="N939" s="1386"/>
      <c r="O939" s="1386"/>
      <c r="P939" s="1386"/>
      <c r="Q939" s="1386"/>
      <c r="R939" s="1386"/>
      <c r="S939" s="1386"/>
      <c r="T939" s="1387"/>
      <c r="U939" s="1657" t="s">
        <v>591</v>
      </c>
      <c r="V939" s="1430"/>
      <c r="W939" s="1430"/>
      <c r="X939" s="1430"/>
      <c r="Y939" s="1430"/>
      <c r="Z939" s="1431"/>
      <c r="AA939" s="1658"/>
      <c r="AB939" s="1528"/>
      <c r="AC939" s="1528"/>
      <c r="AD939" s="1528"/>
      <c r="AE939" s="1528"/>
      <c r="AF939" s="1659"/>
      <c r="AZ939" s="30"/>
      <c r="BA939" s="30"/>
    </row>
    <row r="940" spans="6:55" ht="13" customHeight="1">
      <c r="F940" s="1385" t="s">
        <v>2200</v>
      </c>
      <c r="G940" s="1386"/>
      <c r="H940" s="1386"/>
      <c r="I940" s="1386"/>
      <c r="J940" s="1386"/>
      <c r="K940" s="1386"/>
      <c r="L940" s="1386"/>
      <c r="M940" s="1386"/>
      <c r="N940" s="1386"/>
      <c r="O940" s="1386"/>
      <c r="P940" s="1386"/>
      <c r="Q940" s="1386"/>
      <c r="R940" s="1386"/>
      <c r="S940" s="1386"/>
      <c r="T940" s="1387"/>
      <c r="U940" s="1657" t="s">
        <v>591</v>
      </c>
      <c r="V940" s="1430"/>
      <c r="W940" s="1430"/>
      <c r="X940" s="1430"/>
      <c r="Y940" s="1430"/>
      <c r="Z940" s="1431"/>
      <c r="AA940" s="1658"/>
      <c r="AB940" s="1528"/>
      <c r="AC940" s="1528"/>
      <c r="AD940" s="1528"/>
      <c r="AE940" s="1528"/>
      <c r="AF940" s="1659"/>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57" t="s">
        <v>591</v>
      </c>
      <c r="V941" s="1430"/>
      <c r="W941" s="1430"/>
      <c r="X941" s="1430"/>
      <c r="Y941" s="1430"/>
      <c r="Z941" s="1431"/>
      <c r="AA941" s="1658"/>
      <c r="AB941" s="1528"/>
      <c r="AC941" s="1528"/>
      <c r="AD941" s="1528"/>
      <c r="AE941" s="1528"/>
      <c r="AF941" s="1659"/>
      <c r="AZ941" s="34"/>
      <c r="BA941" s="34"/>
      <c r="BB941" s="14"/>
      <c r="BC941" s="14"/>
    </row>
    <row r="942" spans="6:55" ht="13" customHeight="1">
      <c r="F942" s="1654" t="s">
        <v>2203</v>
      </c>
      <c r="G942" s="1655"/>
      <c r="H942" s="1655"/>
      <c r="I942" s="1655"/>
      <c r="J942" s="1655"/>
      <c r="K942" s="1655"/>
      <c r="L942" s="1655"/>
      <c r="M942" s="1655"/>
      <c r="N942" s="1655"/>
      <c r="O942" s="1655"/>
      <c r="P942" s="1655"/>
      <c r="Q942" s="1655"/>
      <c r="R942" s="1655"/>
      <c r="S942" s="1655"/>
      <c r="T942" s="1656"/>
      <c r="U942" s="1657" t="s">
        <v>591</v>
      </c>
      <c r="V942" s="1430"/>
      <c r="W942" s="1430"/>
      <c r="X942" s="1430"/>
      <c r="Y942" s="1430"/>
      <c r="Z942" s="1431"/>
      <c r="AA942" s="1658"/>
      <c r="AB942" s="1528"/>
      <c r="AC942" s="1528"/>
      <c r="AD942" s="1528"/>
      <c r="AE942" s="1528"/>
      <c r="AF942" s="1659"/>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57" t="s">
        <v>591</v>
      </c>
      <c r="V943" s="1430"/>
      <c r="W943" s="1430"/>
      <c r="X943" s="1430"/>
      <c r="Y943" s="1430"/>
      <c r="Z943" s="1431"/>
      <c r="AA943" s="1658"/>
      <c r="AB943" s="1528"/>
      <c r="AC943" s="1528"/>
      <c r="AD943" s="1528"/>
      <c r="AE943" s="1528"/>
      <c r="AF943" s="1659"/>
      <c r="AZ943" s="34"/>
      <c r="BA943" s="34"/>
      <c r="BB943" s="34"/>
      <c r="BC943" s="34"/>
    </row>
    <row r="944" spans="6:55" ht="13" customHeight="1">
      <c r="F944" s="1654" t="s">
        <v>2204</v>
      </c>
      <c r="G944" s="1655"/>
      <c r="H944" s="1655"/>
      <c r="I944" s="1655"/>
      <c r="J944" s="1655"/>
      <c r="K944" s="1655"/>
      <c r="L944" s="1655"/>
      <c r="M944" s="1655"/>
      <c r="N944" s="1655"/>
      <c r="O944" s="1655"/>
      <c r="P944" s="1655"/>
      <c r="Q944" s="1655"/>
      <c r="R944" s="1655"/>
      <c r="S944" s="1655"/>
      <c r="T944" s="1656"/>
      <c r="U944" s="1657" t="s">
        <v>591</v>
      </c>
      <c r="V944" s="1430"/>
      <c r="W944" s="1430"/>
      <c r="X944" s="1430"/>
      <c r="Y944" s="1430"/>
      <c r="Z944" s="1431"/>
      <c r="AA944" s="1658"/>
      <c r="AB944" s="1528"/>
      <c r="AC944" s="1528"/>
      <c r="AD944" s="1528"/>
      <c r="AE944" s="1528"/>
      <c r="AF944" s="1659"/>
      <c r="AZ944" s="34"/>
      <c r="BA944" s="34"/>
      <c r="BB944" s="34"/>
      <c r="BC944" s="34"/>
    </row>
    <row r="945" spans="1:55" ht="13" customHeight="1">
      <c r="F945" s="45" t="s">
        <v>806</v>
      </c>
      <c r="G945" s="5"/>
      <c r="H945" s="5"/>
      <c r="I945" s="5"/>
      <c r="J945" s="5"/>
      <c r="K945" s="5"/>
      <c r="L945" s="5"/>
      <c r="M945" s="5"/>
      <c r="N945" s="5"/>
      <c r="O945" s="5"/>
      <c r="P945" s="1657" t="s">
        <v>669</v>
      </c>
      <c r="Q945" s="1430"/>
      <c r="R945" s="1430"/>
      <c r="S945" s="1430"/>
      <c r="T945" s="1431"/>
      <c r="U945" s="1657" t="s">
        <v>591</v>
      </c>
      <c r="V945" s="1430"/>
      <c r="W945" s="1430"/>
      <c r="X945" s="1430"/>
      <c r="Y945" s="1430"/>
      <c r="Z945" s="1431"/>
      <c r="AA945" s="1658"/>
      <c r="AB945" s="1528"/>
      <c r="AC945" s="1528"/>
      <c r="AD945" s="1528"/>
      <c r="AE945" s="1528"/>
      <c r="AF945" s="1659"/>
      <c r="AZ945" s="34"/>
      <c r="BA945" s="34"/>
      <c r="BB945" s="34"/>
      <c r="BC945" s="34"/>
    </row>
    <row r="946" spans="1:55" ht="13" customHeight="1">
      <c r="F946" s="1385" t="s">
        <v>2191</v>
      </c>
      <c r="G946" s="1386"/>
      <c r="H946" s="1387"/>
      <c r="I946" s="1382" t="s">
        <v>334</v>
      </c>
      <c r="J946" s="1383"/>
      <c r="K946" s="1383"/>
      <c r="L946" s="1383"/>
      <c r="M946" s="1383"/>
      <c r="N946" s="1383"/>
      <c r="O946" s="1383"/>
      <c r="P946" s="1383"/>
      <c r="Q946" s="1383"/>
      <c r="R946" s="1383"/>
      <c r="S946" s="1383"/>
      <c r="T946" s="1384"/>
      <c r="U946" s="1657" t="s">
        <v>591</v>
      </c>
      <c r="V946" s="1430"/>
      <c r="W946" s="1430"/>
      <c r="X946" s="1430"/>
      <c r="Y946" s="1430"/>
      <c r="Z946" s="1431"/>
      <c r="AA946" s="1658"/>
      <c r="AB946" s="1528"/>
      <c r="AC946" s="1528"/>
      <c r="AD946" s="1528"/>
      <c r="AE946" s="1528"/>
      <c r="AF946" s="1659"/>
      <c r="AZ946" s="34"/>
      <c r="BA946" s="34"/>
      <c r="BB946" s="34"/>
      <c r="BC946" s="34"/>
    </row>
    <row r="947" spans="1:55" ht="13" customHeight="1">
      <c r="F947" s="45" t="s">
        <v>86</v>
      </c>
      <c r="G947" s="48"/>
      <c r="H947" s="48"/>
      <c r="I947" s="1382" t="s">
        <v>334</v>
      </c>
      <c r="J947" s="1383"/>
      <c r="K947" s="1383"/>
      <c r="L947" s="1383"/>
      <c r="M947" s="1383"/>
      <c r="N947" s="1383"/>
      <c r="O947" s="1383"/>
      <c r="P947" s="1383"/>
      <c r="Q947" s="1383"/>
      <c r="R947" s="1383"/>
      <c r="S947" s="1383"/>
      <c r="T947" s="1384"/>
      <c r="U947" s="1657" t="s">
        <v>591</v>
      </c>
      <c r="V947" s="1430"/>
      <c r="W947" s="1430"/>
      <c r="X947" s="1430"/>
      <c r="Y947" s="1430"/>
      <c r="Z947" s="1431"/>
      <c r="AA947" s="1658"/>
      <c r="AB947" s="1528"/>
      <c r="AC947" s="1528"/>
      <c r="AD947" s="1528"/>
      <c r="AE947" s="1528"/>
      <c r="AF947" s="1659"/>
      <c r="AZ947" s="34"/>
      <c r="BA947" s="34"/>
      <c r="BB947" s="34"/>
      <c r="BC947" s="34"/>
    </row>
    <row r="948" spans="1:55" ht="13" customHeight="1">
      <c r="F948" s="45" t="s">
        <v>10</v>
      </c>
      <c r="G948" s="48"/>
      <c r="H948" s="48"/>
      <c r="I948" s="1726" t="s">
        <v>334</v>
      </c>
      <c r="J948" s="1710"/>
      <c r="K948" s="1710"/>
      <c r="L948" s="1710"/>
      <c r="M948" s="1710"/>
      <c r="N948" s="1710"/>
      <c r="O948" s="1710"/>
      <c r="P948" s="1710"/>
      <c r="Q948" s="1710"/>
      <c r="R948" s="1710"/>
      <c r="S948" s="1710"/>
      <c r="T948" s="1711"/>
      <c r="U948" s="1657" t="s">
        <v>591</v>
      </c>
      <c r="V948" s="1430"/>
      <c r="W948" s="1430"/>
      <c r="X948" s="1430"/>
      <c r="Y948" s="1430"/>
      <c r="Z948" s="1431"/>
      <c r="AA948" s="1658"/>
      <c r="AB948" s="1528"/>
      <c r="AC948" s="1528"/>
      <c r="AD948" s="1528"/>
      <c r="AE948" s="1528"/>
      <c r="AF948" s="1659"/>
      <c r="AV948" s="2"/>
      <c r="AW948" s="2"/>
      <c r="AX948" s="2"/>
      <c r="AY948" s="2"/>
      <c r="AZ948" s="34"/>
      <c r="BA948" s="34"/>
      <c r="BB948" s="34"/>
      <c r="BC948" s="34"/>
    </row>
    <row r="949" spans="1:55" ht="13" customHeight="1">
      <c r="F949" s="47" t="s">
        <v>170</v>
      </c>
      <c r="G949" s="48"/>
      <c r="H949" s="48"/>
      <c r="I949" s="1382" t="s">
        <v>2670</v>
      </c>
      <c r="J949" s="1710"/>
      <c r="K949" s="1710"/>
      <c r="L949" s="1710"/>
      <c r="M949" s="1710"/>
      <c r="N949" s="1710"/>
      <c r="O949" s="1710"/>
      <c r="P949" s="1710"/>
      <c r="Q949" s="1710"/>
      <c r="R949" s="1710"/>
      <c r="S949" s="1710"/>
      <c r="T949" s="1711"/>
      <c r="U949" s="1657" t="s">
        <v>545</v>
      </c>
      <c r="V949" s="1430"/>
      <c r="W949" s="1430"/>
      <c r="X949" s="1430"/>
      <c r="Y949" s="1430"/>
      <c r="Z949" s="1431"/>
      <c r="AA949" s="1658">
        <v>7300000</v>
      </c>
      <c r="AB949" s="1528"/>
      <c r="AC949" s="1528"/>
      <c r="AD949" s="1528"/>
      <c r="AE949" s="1528"/>
      <c r="AF949" s="1659"/>
      <c r="AU949" s="2"/>
      <c r="AZ949" s="34"/>
      <c r="BA949" s="34"/>
      <c r="BB949" s="34"/>
      <c r="BC949" s="34"/>
    </row>
    <row r="950" spans="1:55" ht="13" customHeight="1">
      <c r="F950" s="47" t="s">
        <v>170</v>
      </c>
      <c r="G950" s="48"/>
      <c r="H950" s="48"/>
      <c r="I950" s="1726" t="s">
        <v>334</v>
      </c>
      <c r="J950" s="1710"/>
      <c r="K950" s="1710"/>
      <c r="L950" s="1710"/>
      <c r="M950" s="1710"/>
      <c r="N950" s="1710"/>
      <c r="O950" s="1710"/>
      <c r="P950" s="1710"/>
      <c r="Q950" s="1710"/>
      <c r="R950" s="1710"/>
      <c r="S950" s="1710"/>
      <c r="T950" s="1711"/>
      <c r="U950" s="1657" t="s">
        <v>591</v>
      </c>
      <c r="V950" s="1430"/>
      <c r="W950" s="1430"/>
      <c r="X950" s="1430"/>
      <c r="Y950" s="1430"/>
      <c r="Z950" s="1431"/>
      <c r="AA950" s="1658"/>
      <c r="AB950" s="1528"/>
      <c r="AC950" s="1528"/>
      <c r="AD950" s="1528"/>
      <c r="AE950" s="1528"/>
      <c r="AF950" s="1659"/>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12"/>
      <c r="N955" s="1380"/>
      <c r="O955" s="1380"/>
      <c r="P955" s="1380"/>
      <c r="Q955" s="1380"/>
      <c r="R955" s="1380"/>
      <c r="S955" s="1381"/>
      <c r="U955" s="66" t="s">
        <v>11</v>
      </c>
      <c r="V955" s="5"/>
      <c r="W955" s="5"/>
      <c r="X955" s="5"/>
      <c r="Y955" s="5"/>
      <c r="Z955" s="5"/>
      <c r="AA955" s="5"/>
      <c r="AB955" s="5"/>
      <c r="AC955" s="5"/>
      <c r="AD955" s="46"/>
      <c r="AE955" s="1712"/>
      <c r="AF955" s="1380"/>
      <c r="AG955" s="1380"/>
      <c r="AH955" s="1380"/>
      <c r="AI955" s="1380"/>
      <c r="AJ955" s="1380"/>
      <c r="AK955" s="1381"/>
      <c r="AZ955" s="34"/>
      <c r="BA955" s="34"/>
      <c r="BB955" s="34"/>
      <c r="BC955" s="34"/>
    </row>
    <row r="956" spans="1:55" ht="13" customHeight="1">
      <c r="C956" s="66" t="s">
        <v>12</v>
      </c>
      <c r="D956" s="5"/>
      <c r="E956" s="5"/>
      <c r="F956" s="5"/>
      <c r="G956" s="5"/>
      <c r="H956" s="5"/>
      <c r="I956" s="5"/>
      <c r="J956" s="5"/>
      <c r="K956" s="5"/>
      <c r="L956" s="46"/>
      <c r="M956" s="1727"/>
      <c r="N956" s="1551"/>
      <c r="O956" s="1551"/>
      <c r="P956" s="1551"/>
      <c r="Q956" s="1551"/>
      <c r="R956" s="1551"/>
      <c r="S956" s="1728"/>
      <c r="U956" s="66" t="s">
        <v>12</v>
      </c>
      <c r="V956" s="5"/>
      <c r="W956" s="5"/>
      <c r="X956" s="5"/>
      <c r="Y956" s="5"/>
      <c r="Z956" s="5"/>
      <c r="AA956" s="5"/>
      <c r="AB956" s="5"/>
      <c r="AC956" s="5"/>
      <c r="AD956" s="46"/>
      <c r="AE956" s="1727"/>
      <c r="AF956" s="1551"/>
      <c r="AG956" s="1551"/>
      <c r="AH956" s="1551"/>
      <c r="AI956" s="1551"/>
      <c r="AJ956" s="1551"/>
      <c r="AK956" s="1728"/>
      <c r="AZ956" s="34"/>
      <c r="BA956" s="34"/>
      <c r="BB956" s="34"/>
      <c r="BC956" s="34"/>
    </row>
    <row r="957" spans="1:55" ht="13" customHeight="1">
      <c r="C957" s="66" t="s">
        <v>880</v>
      </c>
      <c r="D957" s="5"/>
      <c r="E957" s="5"/>
      <c r="J957" s="1843" t="s">
        <v>307</v>
      </c>
      <c r="K957" s="1844"/>
      <c r="L957" s="1844"/>
      <c r="M957" s="1844"/>
      <c r="N957" s="1844"/>
      <c r="O957" s="1844"/>
      <c r="P957" s="1844"/>
      <c r="Q957" s="1844"/>
      <c r="R957" s="1844"/>
      <c r="S957" s="1845"/>
      <c r="U957" s="66" t="s">
        <v>880</v>
      </c>
      <c r="V957" s="5"/>
      <c r="W957" s="5"/>
      <c r="AB957" s="1843" t="s">
        <v>307</v>
      </c>
      <c r="AC957" s="1844"/>
      <c r="AD957" s="1844"/>
      <c r="AE957" s="1844"/>
      <c r="AF957" s="1844"/>
      <c r="AG957" s="1844"/>
      <c r="AH957" s="1844"/>
      <c r="AI957" s="1844"/>
      <c r="AJ957" s="1844"/>
      <c r="AK957" s="1845"/>
      <c r="AZ957" s="34"/>
      <c r="BA957" s="34"/>
      <c r="BB957" s="34"/>
      <c r="BC957" s="34"/>
    </row>
    <row r="958" spans="1:55" ht="13" customHeight="1">
      <c r="C958" s="66" t="s">
        <v>13</v>
      </c>
      <c r="D958" s="5"/>
      <c r="E958" s="5"/>
      <c r="F958" s="5"/>
      <c r="G958" s="5"/>
      <c r="H958" s="5"/>
      <c r="I958" s="5"/>
      <c r="J958" s="5"/>
      <c r="K958" s="5"/>
      <c r="L958" s="46"/>
      <c r="M958" s="1713"/>
      <c r="N958" s="1714"/>
      <c r="O958" s="1714"/>
      <c r="P958" s="1714"/>
      <c r="Q958" s="1714"/>
      <c r="R958" s="1714"/>
      <c r="S958" s="1715"/>
      <c r="U958" s="66" t="s">
        <v>13</v>
      </c>
      <c r="V958" s="5"/>
      <c r="W958" s="5"/>
      <c r="X958" s="5"/>
      <c r="Y958" s="5"/>
      <c r="Z958" s="5"/>
      <c r="AA958" s="5"/>
      <c r="AB958" s="5"/>
      <c r="AC958" s="5"/>
      <c r="AD958" s="46"/>
      <c r="AE958" s="1778"/>
      <c r="AF958" s="1714"/>
      <c r="AG958" s="1714"/>
      <c r="AH958" s="1714"/>
      <c r="AI958" s="1714"/>
      <c r="AJ958" s="1714"/>
      <c r="AK958" s="1715"/>
      <c r="AZ958" s="34"/>
      <c r="BA958" s="34"/>
      <c r="BB958" s="34"/>
      <c r="BC958" s="34"/>
    </row>
    <row r="959" spans="1:55" ht="13" customHeight="1">
      <c r="C959" s="66" t="s">
        <v>14</v>
      </c>
      <c r="D959" s="5"/>
      <c r="E959" s="5"/>
      <c r="F959" s="5"/>
      <c r="G959" s="5"/>
      <c r="H959" s="5"/>
      <c r="I959" s="5"/>
      <c r="J959" s="5"/>
      <c r="K959" s="5"/>
      <c r="L959" s="46"/>
      <c r="M959" s="1664"/>
      <c r="N959" s="1650"/>
      <c r="O959" s="1650"/>
      <c r="P959" s="1650"/>
      <c r="Q959" s="1650"/>
      <c r="R959" s="1650"/>
      <c r="S959" s="1651"/>
      <c r="U959" s="66" t="s">
        <v>14</v>
      </c>
      <c r="V959" s="5"/>
      <c r="W959" s="5"/>
      <c r="X959" s="5"/>
      <c r="Y959" s="5"/>
      <c r="Z959" s="5"/>
      <c r="AA959" s="5"/>
      <c r="AB959" s="5"/>
      <c r="AC959" s="5"/>
      <c r="AD959" s="46"/>
      <c r="AE959" s="1664"/>
      <c r="AF959" s="1650"/>
      <c r="AG959" s="1650"/>
      <c r="AH959" s="1650"/>
      <c r="AI959" s="1650"/>
      <c r="AJ959" s="1650"/>
      <c r="AK959" s="1651"/>
      <c r="AV959" s="2"/>
      <c r="AW959" s="2"/>
      <c r="AX959" s="2"/>
      <c r="AY959" s="2"/>
      <c r="AZ959" s="34"/>
      <c r="BA959" s="34"/>
      <c r="BB959" s="34"/>
      <c r="BC959" s="34"/>
    </row>
    <row r="960" spans="1:55" ht="13" customHeight="1">
      <c r="C960" s="66" t="s">
        <v>15</v>
      </c>
      <c r="D960" s="5"/>
      <c r="E960" s="5"/>
      <c r="F960" s="5"/>
      <c r="G960" s="5"/>
      <c r="H960" s="5"/>
      <c r="I960" s="5"/>
      <c r="J960" s="5"/>
      <c r="K960" s="5"/>
      <c r="L960" s="46"/>
      <c r="M960" s="1658"/>
      <c r="N960" s="1528"/>
      <c r="O960" s="1528"/>
      <c r="P960" s="1528"/>
      <c r="Q960" s="1528"/>
      <c r="R960" s="1528"/>
      <c r="S960" s="1659"/>
      <c r="U960" s="66" t="s">
        <v>15</v>
      </c>
      <c r="V960" s="5"/>
      <c r="W960" s="5"/>
      <c r="X960" s="5"/>
      <c r="Y960" s="5"/>
      <c r="Z960" s="5"/>
      <c r="AA960" s="5"/>
      <c r="AB960" s="5"/>
      <c r="AC960" s="5"/>
      <c r="AD960" s="46"/>
      <c r="AE960" s="1658"/>
      <c r="AF960" s="1528"/>
      <c r="AG960" s="1528"/>
      <c r="AH960" s="1528"/>
      <c r="AI960" s="1528"/>
      <c r="AJ960" s="1528"/>
      <c r="AK960" s="1659"/>
      <c r="AV960" s="2"/>
      <c r="AW960" s="2"/>
      <c r="AX960" s="2"/>
      <c r="AY960" s="2"/>
      <c r="AZ960" s="34"/>
      <c r="BA960" s="34"/>
      <c r="BB960" s="34"/>
      <c r="BC960" s="34"/>
    </row>
    <row r="961" spans="1:64" ht="13" customHeight="1">
      <c r="C961" s="66" t="s">
        <v>16</v>
      </c>
      <c r="D961" s="5"/>
      <c r="E961" s="5"/>
      <c r="F961" s="5"/>
      <c r="G961" s="5"/>
      <c r="H961" s="5"/>
      <c r="I961" s="5"/>
      <c r="J961" s="5"/>
      <c r="K961" s="5"/>
      <c r="L961" s="46"/>
      <c r="M961" s="1658"/>
      <c r="N961" s="1528"/>
      <c r="O961" s="1528"/>
      <c r="P961" s="1528"/>
      <c r="Q961" s="1528"/>
      <c r="R961" s="1528"/>
      <c r="S961" s="1659"/>
      <c r="U961" s="66" t="s">
        <v>16</v>
      </c>
      <c r="V961" s="5"/>
      <c r="W961" s="5"/>
      <c r="X961" s="5"/>
      <c r="Y961" s="5"/>
      <c r="Z961" s="5"/>
      <c r="AA961" s="5"/>
      <c r="AB961" s="5"/>
      <c r="AC961" s="5"/>
      <c r="AD961" s="46"/>
      <c r="AE961" s="1658"/>
      <c r="AF961" s="1528"/>
      <c r="AG961" s="1528"/>
      <c r="AH961" s="1528"/>
      <c r="AI961" s="1528"/>
      <c r="AJ961" s="1528"/>
      <c r="AK961" s="1659"/>
      <c r="AV961" s="2"/>
      <c r="AW961" s="2"/>
      <c r="AX961" s="2"/>
      <c r="AY961" s="2"/>
      <c r="AZ961" s="34"/>
      <c r="BB961" s="34"/>
      <c r="BC961" s="34"/>
    </row>
    <row r="962" spans="1:64" ht="13" customHeight="1">
      <c r="C962" s="121" t="s">
        <v>1661</v>
      </c>
      <c r="D962" s="5"/>
      <c r="E962" s="5"/>
      <c r="F962" s="5"/>
      <c r="G962" s="5"/>
      <c r="H962" s="5"/>
      <c r="I962" s="5"/>
      <c r="J962" s="5"/>
      <c r="K962" s="5"/>
      <c r="L962" s="46"/>
      <c r="M962" s="1723"/>
      <c r="N962" s="1724"/>
      <c r="O962" s="1724"/>
      <c r="P962" s="1724"/>
      <c r="Q962" s="1724"/>
      <c r="R962" s="1724"/>
      <c r="S962" s="1725"/>
      <c r="U962" s="121" t="s">
        <v>1661</v>
      </c>
      <c r="V962" s="5"/>
      <c r="W962" s="5"/>
      <c r="X962" s="5"/>
      <c r="Y962" s="5"/>
      <c r="Z962" s="5"/>
      <c r="AA962" s="5"/>
      <c r="AB962" s="5"/>
      <c r="AC962" s="5"/>
      <c r="AD962" s="46"/>
      <c r="AE962" s="1723"/>
      <c r="AF962" s="1724"/>
      <c r="AG962" s="1724"/>
      <c r="AH962" s="1724"/>
      <c r="AI962" s="1724"/>
      <c r="AJ962" s="1724"/>
      <c r="AK962" s="172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716"/>
      <c r="N967" s="1717"/>
      <c r="O967" s="1717"/>
      <c r="P967" s="1717"/>
      <c r="Q967" s="1717"/>
      <c r="R967" s="1717"/>
      <c r="S967" s="1718"/>
      <c r="T967" s="66" t="s">
        <v>790</v>
      </c>
      <c r="U967" s="5"/>
      <c r="V967" s="5"/>
      <c r="W967" s="5"/>
      <c r="X967" s="5"/>
      <c r="Y967" s="5"/>
      <c r="Z967" s="46"/>
      <c r="AA967" s="1716"/>
      <c r="AB967" s="1717"/>
      <c r="AC967" s="1717"/>
      <c r="AD967" s="1717"/>
      <c r="AE967" s="1717"/>
      <c r="AF967" s="1717"/>
      <c r="AG967" s="171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716"/>
      <c r="N968" s="1717"/>
      <c r="O968" s="1717"/>
      <c r="P968" s="1717"/>
      <c r="Q968" s="1717"/>
      <c r="R968" s="1717"/>
      <c r="S968" s="1718"/>
      <c r="T968" s="66" t="s">
        <v>789</v>
      </c>
      <c r="U968" s="5"/>
      <c r="V968" s="5"/>
      <c r="W968" s="5"/>
      <c r="X968" s="5"/>
      <c r="Y968" s="5"/>
      <c r="Z968" s="46"/>
      <c r="AA968" s="1716"/>
      <c r="AB968" s="1717"/>
      <c r="AC968" s="1717"/>
      <c r="AD968" s="1717"/>
      <c r="AE968" s="1717"/>
      <c r="AF968" s="1717"/>
      <c r="AG968" s="171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19" t="s">
        <v>591</v>
      </c>
      <c r="N969" s="1720"/>
      <c r="O969" s="1720"/>
      <c r="P969" s="1720"/>
      <c r="Q969" s="1720"/>
      <c r="R969" s="1720"/>
      <c r="S969" s="1721"/>
      <c r="T969" s="45" t="s">
        <v>337</v>
      </c>
      <c r="U969" s="5"/>
      <c r="V969" s="5"/>
      <c r="W969" s="5"/>
      <c r="X969" s="5"/>
      <c r="Y969" s="5"/>
      <c r="Z969" s="46"/>
      <c r="AA969" s="1716"/>
      <c r="AB969" s="1717"/>
      <c r="AC969" s="1717"/>
      <c r="AD969" s="1717"/>
      <c r="AE969" s="1717"/>
      <c r="AF969" s="1717"/>
      <c r="AG969" s="171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716"/>
      <c r="N970" s="1717"/>
      <c r="O970" s="1717"/>
      <c r="P970" s="1717"/>
      <c r="Q970" s="1717"/>
      <c r="R970" s="1717"/>
      <c r="S970" s="1718"/>
      <c r="T970" s="45" t="s">
        <v>338</v>
      </c>
      <c r="U970" s="5"/>
      <c r="V970" s="5"/>
      <c r="W970" s="5"/>
      <c r="X970" s="5"/>
      <c r="Y970" s="5"/>
      <c r="Z970" s="46"/>
      <c r="AA970" s="1716"/>
      <c r="AB970" s="1717"/>
      <c r="AC970" s="1717"/>
      <c r="AD970" s="1717"/>
      <c r="AE970" s="1717"/>
      <c r="AF970" s="1717"/>
      <c r="AG970" s="171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716"/>
      <c r="N971" s="1717"/>
      <c r="O971" s="1717"/>
      <c r="P971" s="1717"/>
      <c r="Q971" s="1717"/>
      <c r="R971" s="1717"/>
      <c r="S971" s="1718"/>
      <c r="T971" s="45" t="s">
        <v>376</v>
      </c>
      <c r="U971" s="5"/>
      <c r="V971" s="5"/>
      <c r="W971" s="5"/>
      <c r="X971" s="5"/>
      <c r="Y971" s="5"/>
      <c r="Z971" s="46"/>
      <c r="AA971" s="1716"/>
      <c r="AB971" s="1717"/>
      <c r="AC971" s="1717"/>
      <c r="AD971" s="1717"/>
      <c r="AE971" s="1717"/>
      <c r="AF971" s="1717"/>
      <c r="AG971" s="171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43" t="s">
        <v>307</v>
      </c>
      <c r="N972" s="1844"/>
      <c r="O972" s="1844"/>
      <c r="P972" s="1844"/>
      <c r="Q972" s="1844"/>
      <c r="R972" s="1844"/>
      <c r="S972" s="1845"/>
      <c r="T972" s="1768"/>
      <c r="U972" s="1769"/>
      <c r="V972" s="1769"/>
      <c r="W972" s="1769"/>
      <c r="X972" s="1769"/>
      <c r="Y972" s="1769"/>
      <c r="Z972" s="1770"/>
      <c r="AA972" s="1716"/>
      <c r="AB972" s="1717"/>
      <c r="AC972" s="1717"/>
      <c r="AD972" s="1717"/>
      <c r="AE972" s="1717"/>
      <c r="AF972" s="1717"/>
      <c r="AG972" s="171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716"/>
      <c r="N973" s="1717"/>
      <c r="O973" s="1717"/>
      <c r="P973" s="1717"/>
      <c r="Q973" s="1717"/>
      <c r="R973" s="1717"/>
      <c r="S973" s="1718"/>
      <c r="T973" s="1768"/>
      <c r="U973" s="1769"/>
      <c r="V973" s="1769"/>
      <c r="W973" s="1769"/>
      <c r="X973" s="1769"/>
      <c r="Y973" s="1769"/>
      <c r="Z973" s="1770"/>
      <c r="AA973" s="1716"/>
      <c r="AB973" s="1717"/>
      <c r="AC973" s="1717"/>
      <c r="AD973" s="1717"/>
      <c r="AE973" s="1717"/>
      <c r="AF973" s="1717"/>
      <c r="AG973" s="171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454" t="s">
        <v>669</v>
      </c>
      <c r="P974" s="1456"/>
      <c r="Q974" s="92"/>
      <c r="R974" s="92"/>
      <c r="S974" s="93"/>
      <c r="T974" s="41" t="s">
        <v>170</v>
      </c>
      <c r="U974" s="42"/>
      <c r="V974" s="42"/>
      <c r="W974" s="1846" t="s">
        <v>334</v>
      </c>
      <c r="X974" s="1847"/>
      <c r="Y974" s="1847"/>
      <c r="Z974" s="1847"/>
      <c r="AA974" s="1847"/>
      <c r="AB974" s="1847"/>
      <c r="AC974" s="1847"/>
      <c r="AD974" s="1847"/>
      <c r="AE974" s="1847"/>
      <c r="AF974" s="1847"/>
      <c r="AG974" s="1848"/>
      <c r="AU974" s="68"/>
      <c r="AV974" s="95"/>
      <c r="AW974" s="95"/>
      <c r="AX974" s="95"/>
      <c r="AY974" s="95"/>
      <c r="AZ974" s="34"/>
      <c r="BB974" s="34"/>
      <c r="BC974" s="34"/>
      <c r="BD974" s="34"/>
      <c r="BE974" s="34"/>
      <c r="BF974" s="34"/>
      <c r="BG974" s="34"/>
      <c r="BH974" s="34"/>
      <c r="BI974" s="34"/>
      <c r="BJ974" s="34"/>
      <c r="BK974" s="34"/>
      <c r="BL974" s="34"/>
    </row>
    <row r="975" spans="1:64" ht="13" customHeight="1">
      <c r="F975" s="1648" t="s">
        <v>33</v>
      </c>
      <c r="G975" s="1494"/>
      <c r="H975" s="1494"/>
      <c r="I975" s="1494"/>
      <c r="J975" s="1494"/>
      <c r="K975" s="1494"/>
      <c r="L975" s="1494"/>
      <c r="M975" s="1716"/>
      <c r="N975" s="1717"/>
      <c r="O975" s="1717"/>
      <c r="P975" s="1717"/>
      <c r="Q975" s="1717"/>
      <c r="R975" s="1717"/>
      <c r="S975" s="1718"/>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364"/>
      <c r="BH976" s="1364"/>
      <c r="BI976" s="1364"/>
      <c r="BJ976" s="1364"/>
      <c r="BK976" s="1364"/>
      <c r="BL976" s="1364"/>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58" t="s">
        <v>548</v>
      </c>
      <c r="B979" s="1558"/>
      <c r="C979" s="1558"/>
      <c r="D979" s="1558"/>
      <c r="E979" s="1558"/>
      <c r="F979" s="1558"/>
      <c r="G979" s="1558"/>
      <c r="H979" s="1558"/>
      <c r="I979" s="1558"/>
      <c r="J979" s="1558"/>
      <c r="K979" s="1558"/>
      <c r="L979" s="1558"/>
      <c r="M979" s="1558"/>
      <c r="N979" s="1558"/>
      <c r="O979" s="1558"/>
      <c r="P979" s="1558"/>
      <c r="Q979" s="1558"/>
      <c r="R979" s="1558"/>
      <c r="S979" s="1558"/>
      <c r="T979" s="1558"/>
      <c r="U979" s="1558"/>
      <c r="V979" s="1558"/>
      <c r="W979" s="1558"/>
      <c r="X979" s="1558"/>
      <c r="Y979" s="1558"/>
      <c r="Z979" s="1558"/>
      <c r="AA979" s="1558"/>
      <c r="AB979" s="1558"/>
      <c r="AC979" s="1558"/>
      <c r="AD979" s="1558"/>
      <c r="AE979" s="1558"/>
      <c r="AF979" s="1558"/>
      <c r="AG979" s="1558"/>
      <c r="AH979" s="1558"/>
      <c r="AI979" s="1558"/>
      <c r="AJ979" s="1558"/>
      <c r="AK979" s="1558"/>
      <c r="AL979" s="1558"/>
      <c r="AM979" s="1558"/>
      <c r="AN979" s="1558"/>
      <c r="AO979" s="1558"/>
      <c r="AP979" s="1558"/>
      <c r="AQ979" s="1558"/>
      <c r="AR979" s="1558"/>
      <c r="AS979" s="1558"/>
      <c r="AT979" s="1558"/>
      <c r="AU979" s="68"/>
      <c r="AV979" s="68"/>
      <c r="AW979" s="68"/>
      <c r="AX979" s="68"/>
      <c r="AY979" s="68"/>
      <c r="AZ979" s="14"/>
      <c r="BA979" s="14"/>
      <c r="BB979" s="912"/>
      <c r="BC979" s="912"/>
    </row>
    <row r="980" spans="1:64" ht="13" customHeight="1">
      <c r="A980" s="1558"/>
      <c r="B980" s="1558"/>
      <c r="C980" s="1558"/>
      <c r="D980" s="1558"/>
      <c r="E980" s="1558"/>
      <c r="F980" s="1558"/>
      <c r="G980" s="1558"/>
      <c r="H980" s="1558"/>
      <c r="I980" s="1558"/>
      <c r="J980" s="1558"/>
      <c r="K980" s="1558"/>
      <c r="L980" s="1558"/>
      <c r="M980" s="1558"/>
      <c r="N980" s="1558"/>
      <c r="O980" s="1558"/>
      <c r="P980" s="1558"/>
      <c r="Q980" s="1558"/>
      <c r="R980" s="1558"/>
      <c r="S980" s="1558"/>
      <c r="T980" s="1558"/>
      <c r="U980" s="1558"/>
      <c r="V980" s="1558"/>
      <c r="W980" s="1558"/>
      <c r="X980" s="1558"/>
      <c r="Y980" s="1558"/>
      <c r="Z980" s="1558"/>
      <c r="AA980" s="1558"/>
      <c r="AB980" s="1558"/>
      <c r="AC980" s="1558"/>
      <c r="AD980" s="1558"/>
      <c r="AE980" s="1558"/>
      <c r="AF980" s="1558"/>
      <c r="AG980" s="1558"/>
      <c r="AH980" s="1558"/>
      <c r="AI980" s="1558"/>
      <c r="AJ980" s="1558"/>
      <c r="AK980" s="1558"/>
      <c r="AL980" s="1558"/>
      <c r="AM980" s="1558"/>
      <c r="AN980" s="1558"/>
      <c r="AO980" s="1558"/>
      <c r="AP980" s="1558"/>
      <c r="AQ980" s="1558"/>
      <c r="AR980" s="1558"/>
      <c r="AS980" s="1558"/>
      <c r="AT980" s="1558"/>
      <c r="AU980" s="68"/>
      <c r="AV980" s="68"/>
      <c r="AW980" s="68"/>
      <c r="AX980" s="68"/>
      <c r="AY980" s="68"/>
      <c r="AZ980" s="30"/>
      <c r="BA980" s="14"/>
      <c r="BB980" s="14"/>
      <c r="BC980" s="14"/>
    </row>
    <row r="981" spans="1:64" ht="13" customHeight="1">
      <c r="A981" s="1558"/>
      <c r="B981" s="1558"/>
      <c r="C981" s="1558"/>
      <c r="D981" s="1558"/>
      <c r="E981" s="1558"/>
      <c r="F981" s="1558"/>
      <c r="G981" s="1558"/>
      <c r="H981" s="1558"/>
      <c r="I981" s="1558"/>
      <c r="J981" s="1558"/>
      <c r="K981" s="1558"/>
      <c r="L981" s="1558"/>
      <c r="M981" s="1558"/>
      <c r="N981" s="1558"/>
      <c r="O981" s="1558"/>
      <c r="P981" s="1558"/>
      <c r="Q981" s="1558"/>
      <c r="R981" s="1558"/>
      <c r="S981" s="1558"/>
      <c r="T981" s="1558"/>
      <c r="U981" s="1558"/>
      <c r="V981" s="1558"/>
      <c r="W981" s="1558"/>
      <c r="X981" s="1558"/>
      <c r="Y981" s="1558"/>
      <c r="Z981" s="1558"/>
      <c r="AA981" s="1558"/>
      <c r="AB981" s="1558"/>
      <c r="AC981" s="1558"/>
      <c r="AD981" s="1558"/>
      <c r="AE981" s="1558"/>
      <c r="AF981" s="1558"/>
      <c r="AG981" s="1558"/>
      <c r="AH981" s="1558"/>
      <c r="AI981" s="1558"/>
      <c r="AJ981" s="1558"/>
      <c r="AK981" s="1558"/>
      <c r="AL981" s="1558"/>
      <c r="AM981" s="1558"/>
      <c r="AN981" s="1558"/>
      <c r="AO981" s="1558"/>
      <c r="AP981" s="1558"/>
      <c r="AQ981" s="1558"/>
      <c r="AR981" s="1558"/>
      <c r="AS981" s="1558"/>
      <c r="AT981" s="1558"/>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7" t="s">
        <v>638</v>
      </c>
      <c r="E985" s="1788"/>
      <c r="F985" s="1788"/>
      <c r="G985" s="1788"/>
      <c r="H985" s="1788"/>
      <c r="I985" s="1788"/>
      <c r="J985" s="1788"/>
      <c r="K985" s="1788"/>
      <c r="L985" s="1788"/>
      <c r="M985" s="1788"/>
      <c r="N985" s="1788"/>
      <c r="O985" s="1788"/>
      <c r="P985" s="1788"/>
      <c r="Q985" s="1789"/>
      <c r="R985" s="1787" t="s">
        <v>639</v>
      </c>
      <c r="S985" s="1788"/>
      <c r="T985" s="1788"/>
      <c r="U985" s="1788"/>
      <c r="V985" s="1788"/>
      <c r="W985" s="1788"/>
      <c r="X985" s="1788"/>
      <c r="Y985" s="1788"/>
      <c r="Z985" s="1788"/>
      <c r="AA985" s="1789"/>
      <c r="AB985" s="1787" t="s">
        <v>640</v>
      </c>
      <c r="AC985" s="1788"/>
      <c r="AD985" s="1788"/>
      <c r="AE985" s="1788"/>
      <c r="AF985" s="1788"/>
      <c r="AG985" s="1788"/>
      <c r="AH985" s="1788"/>
      <c r="AI985" s="1789"/>
      <c r="AJ985" s="1787" t="s">
        <v>641</v>
      </c>
      <c r="AK985" s="1788"/>
      <c r="AL985" s="1788"/>
      <c r="AM985" s="1788"/>
      <c r="AN985" s="1788"/>
      <c r="AO985" s="1788"/>
      <c r="AP985" s="1788"/>
      <c r="AQ985" s="1789"/>
      <c r="AR985" s="68"/>
      <c r="AS985" s="68"/>
      <c r="AT985" s="68"/>
      <c r="AU985" s="68"/>
      <c r="AV985" s="68"/>
      <c r="AW985" s="68"/>
      <c r="AX985" s="68"/>
      <c r="AY985" s="68"/>
      <c r="AZ985" s="30"/>
      <c r="BB985" s="14"/>
      <c r="BC985" s="14"/>
    </row>
    <row r="986" spans="1:64" ht="13" customHeight="1">
      <c r="A986" s="14"/>
      <c r="B986" s="73"/>
      <c r="C986" s="929"/>
      <c r="D986" s="1740" t="s">
        <v>633</v>
      </c>
      <c r="E986" s="1741"/>
      <c r="F986" s="1741"/>
      <c r="G986" s="1741"/>
      <c r="H986" s="1741"/>
      <c r="I986" s="1741"/>
      <c r="J986" s="1741"/>
      <c r="K986" s="1741"/>
      <c r="L986" s="1741"/>
      <c r="M986" s="1741"/>
      <c r="N986" s="1741"/>
      <c r="O986" s="1741"/>
      <c r="P986" s="1741"/>
      <c r="Q986" s="1742"/>
      <c r="R986" s="1736">
        <f>IF(ISNA(IF($CU$122="4%",(INDEX($CS$160:$CW$217,MATCH($DG$122,$CR$160:$CR$217,0),MATCH(D986,$CS$159:$CW$159,0))),(INDEX($CZ$160:$DD$217,MATCH($DG$122,$CY$160:$CY$217,0),MATCH(D986,$CZ$159:$DD$159,0))))),0,IF($CU$122="4%",(INDEX($CS$160:$CW$217,MATCH($DG$122,$CR$160:$CR$217,0),MATCH(D986,$CS$159:$CW$159,0))),(INDEX($CZ$160:$DD$217,MATCH($DG$122,$CY$160:$CY$217,0),MATCH(D986,$CZ$159:$DD$159,0)))))</f>
        <v>353173</v>
      </c>
      <c r="S986" s="1736"/>
      <c r="T986" s="1736"/>
      <c r="U986" s="1736"/>
      <c r="V986" s="1736"/>
      <c r="W986" s="1736"/>
      <c r="X986" s="1736"/>
      <c r="Y986" s="1736"/>
      <c r="Z986" s="1736"/>
      <c r="AA986" s="1736"/>
      <c r="AB986" s="1813">
        <f>CP802</f>
        <v>0</v>
      </c>
      <c r="AC986" s="1814"/>
      <c r="AD986" s="1814"/>
      <c r="AE986" s="1814"/>
      <c r="AF986" s="1814"/>
      <c r="AG986" s="1814"/>
      <c r="AH986" s="1814"/>
      <c r="AI986" s="1815"/>
      <c r="AJ986" s="1729">
        <f>IF(ISERROR((R986*AB986)),0,(R986*AB986))</f>
        <v>0</v>
      </c>
      <c r="AK986" s="1730"/>
      <c r="AL986" s="1730"/>
      <c r="AM986" s="1730"/>
      <c r="AN986" s="1730"/>
      <c r="AO986" s="1730"/>
      <c r="AP986" s="1730"/>
      <c r="AQ986" s="1731"/>
      <c r="AR986" s="68"/>
      <c r="AS986" s="68"/>
      <c r="AT986" s="68"/>
      <c r="AU986" s="68"/>
      <c r="AV986" s="68"/>
      <c r="AW986" s="68"/>
      <c r="AX986" s="68"/>
      <c r="AY986" s="68"/>
      <c r="AZ986" s="30"/>
      <c r="BB986" s="14"/>
      <c r="BC986" s="14"/>
    </row>
    <row r="987" spans="1:64" ht="13" customHeight="1">
      <c r="A987" s="14"/>
      <c r="B987" s="73"/>
      <c r="C987" s="83"/>
      <c r="D987" s="1740" t="s">
        <v>325</v>
      </c>
      <c r="E987" s="1741"/>
      <c r="F987" s="1741"/>
      <c r="G987" s="1741"/>
      <c r="H987" s="1741"/>
      <c r="I987" s="1741"/>
      <c r="J987" s="1741"/>
      <c r="K987" s="1741"/>
      <c r="L987" s="1741"/>
      <c r="M987" s="1741"/>
      <c r="N987" s="1741"/>
      <c r="O987" s="1741"/>
      <c r="P987" s="1741"/>
      <c r="Q987" s="1742"/>
      <c r="R987" s="1736">
        <f>IF(ISNA(IF($CU$122="4%",(INDEX($CS$160:$CW$217,MATCH($DG$122,$CR$160:$CR$217,0),MATCH(D987,$CS$159:$CW$159,0))),(INDEX($CZ$160:$DD$217,MATCH($DG$122,$CY$160:$CY$217,0),MATCH(D987,$CZ$159:$DD$159,0))))),0,IF($CU$122="4%",(INDEX($CS$160:$CW$217,MATCH($DG$122,$CR$160:$CR$217,0),MATCH(D987,$CS$159:$CW$159,0))),(INDEX($CZ$160:$DD$217,MATCH($DG$122,$CY$160:$CY$217,0),MATCH(D987,$CZ$159:$DD$159,0)))))</f>
        <v>407205</v>
      </c>
      <c r="S987" s="1736"/>
      <c r="T987" s="1736"/>
      <c r="U987" s="1736"/>
      <c r="V987" s="1736"/>
      <c r="W987" s="1736"/>
      <c r="X987" s="1736"/>
      <c r="Y987" s="1736"/>
      <c r="Z987" s="1736"/>
      <c r="AA987" s="1736"/>
      <c r="AB987" s="1813">
        <f>CU802</f>
        <v>134</v>
      </c>
      <c r="AC987" s="1814"/>
      <c r="AD987" s="1814"/>
      <c r="AE987" s="1814"/>
      <c r="AF987" s="1814"/>
      <c r="AG987" s="1814"/>
      <c r="AH987" s="1814"/>
      <c r="AI987" s="1815"/>
      <c r="AJ987" s="1729">
        <f>IF(ISERROR((R987*AB987)),0,(R987*AB987))</f>
        <v>54565470</v>
      </c>
      <c r="AK987" s="1730"/>
      <c r="AL987" s="1730"/>
      <c r="AM987" s="1730"/>
      <c r="AN987" s="1730"/>
      <c r="AO987" s="1730"/>
      <c r="AP987" s="1730"/>
      <c r="AQ987" s="1731"/>
      <c r="AR987" s="68"/>
      <c r="AS987" s="68"/>
      <c r="AT987" s="68"/>
      <c r="AU987" s="68"/>
      <c r="AV987" s="68"/>
      <c r="AW987" s="68"/>
      <c r="AX987" s="68"/>
      <c r="AY987" s="68"/>
      <c r="AZ987" s="30"/>
      <c r="BB987" s="14"/>
      <c r="BC987" s="14"/>
    </row>
    <row r="988" spans="1:64" ht="13" customHeight="1">
      <c r="A988" s="14"/>
      <c r="B988" s="73"/>
      <c r="C988" s="83"/>
      <c r="D988" s="1740" t="s">
        <v>163</v>
      </c>
      <c r="E988" s="1741"/>
      <c r="F988" s="1741"/>
      <c r="G988" s="1741"/>
      <c r="H988" s="1741"/>
      <c r="I988" s="1741"/>
      <c r="J988" s="1741"/>
      <c r="K988" s="1741"/>
      <c r="L988" s="1741"/>
      <c r="M988" s="1741"/>
      <c r="N988" s="1741"/>
      <c r="O988" s="1741"/>
      <c r="P988" s="1741"/>
      <c r="Q988" s="1742"/>
      <c r="R988" s="1736">
        <f>IF(ISNA(IF($CU$122="4%",(INDEX($CS$160:$CW$217,MATCH($DG$122,$CR$160:$CR$217,0),MATCH(D988,$CS$159:$CW$159,0))),(INDEX($CZ$160:$DD$217,MATCH($DG$122,$CY$160:$CY$217,0),MATCH(D988,$CZ$159:$DD$159,0))))),0,IF($CU$122="4%",(INDEX($CS$160:$CW$217,MATCH($DG$122,$CR$160:$CR$217,0),MATCH(D988,$CS$159:$CW$159,0))),(INDEX($CZ$160:$DD$217,MATCH($DG$122,$CY$160:$CY$217,0),MATCH(D988,$CZ$159:$DD$159,0)))))</f>
        <v>491200</v>
      </c>
      <c r="S988" s="1736"/>
      <c r="T988" s="1736"/>
      <c r="U988" s="1736"/>
      <c r="V988" s="1736"/>
      <c r="W988" s="1736"/>
      <c r="X988" s="1736"/>
      <c r="Y988" s="1736"/>
      <c r="Z988" s="1736"/>
      <c r="AA988" s="1736"/>
      <c r="AB988" s="1813">
        <f>CZ802</f>
        <v>66</v>
      </c>
      <c r="AC988" s="1814"/>
      <c r="AD988" s="1814"/>
      <c r="AE988" s="1814"/>
      <c r="AF988" s="1814"/>
      <c r="AG988" s="1814"/>
      <c r="AH988" s="1814"/>
      <c r="AI988" s="1815"/>
      <c r="AJ988" s="1729">
        <f>IF(ISERROR((R988*AB988)),0,(R988*AB988))</f>
        <v>32419200</v>
      </c>
      <c r="AK988" s="1730"/>
      <c r="AL988" s="1730"/>
      <c r="AM988" s="1730"/>
      <c r="AN988" s="1730"/>
      <c r="AO988" s="1730"/>
      <c r="AP988" s="1730"/>
      <c r="AQ988" s="1731"/>
      <c r="AR988" s="68"/>
      <c r="AS988" s="68"/>
      <c r="AT988" s="68"/>
      <c r="AU988" s="68"/>
      <c r="AV988" s="68"/>
      <c r="AW988" s="68"/>
      <c r="AX988" s="68"/>
      <c r="AY988" s="68"/>
      <c r="AZ988" s="30"/>
      <c r="BB988" s="14"/>
      <c r="BC988" s="14"/>
    </row>
    <row r="989" spans="1:64" ht="13" customHeight="1">
      <c r="A989" s="14"/>
      <c r="B989" s="73"/>
      <c r="C989" s="83"/>
      <c r="D989" s="1740" t="s">
        <v>164</v>
      </c>
      <c r="E989" s="1741"/>
      <c r="F989" s="1741"/>
      <c r="G989" s="1741"/>
      <c r="H989" s="1741"/>
      <c r="I989" s="1741"/>
      <c r="J989" s="1741"/>
      <c r="K989" s="1741"/>
      <c r="L989" s="1741"/>
      <c r="M989" s="1741"/>
      <c r="N989" s="1741"/>
      <c r="O989" s="1741"/>
      <c r="P989" s="1741"/>
      <c r="Q989" s="1742"/>
      <c r="R989" s="1736">
        <f>IF(ISNA(IF($CU$122="4%",(INDEX($CS$160:$CW$217,MATCH($DG$122,$CR$160:$CR$217,0),MATCH(D989,$CS$159:$CW$159,0))),(INDEX($CZ$160:$DD$217,MATCH($DG$122,$CY$160:$CY$217,0),MATCH(D989,$CZ$159:$DD$159,0))))),0,IF($CU$122="4%",(INDEX($CS$160:$CW$217,MATCH($DG$122,$CR$160:$CR$217,0),MATCH(D989,$CS$159:$CW$159,0))),(INDEX($CZ$160:$DD$217,MATCH($DG$122,$CY$160:$CY$217,0),MATCH(D989,$CZ$159:$DD$159,0)))))</f>
        <v>628736</v>
      </c>
      <c r="S989" s="1736"/>
      <c r="T989" s="1736"/>
      <c r="U989" s="1736"/>
      <c r="V989" s="1736"/>
      <c r="W989" s="1736"/>
      <c r="X989" s="1736"/>
      <c r="Y989" s="1736"/>
      <c r="Z989" s="1736"/>
      <c r="AA989" s="1736"/>
      <c r="AB989" s="1813">
        <f>DE802</f>
        <v>0</v>
      </c>
      <c r="AC989" s="1814"/>
      <c r="AD989" s="1814"/>
      <c r="AE989" s="1814"/>
      <c r="AF989" s="1814"/>
      <c r="AG989" s="1814"/>
      <c r="AH989" s="1814"/>
      <c r="AI989" s="1815"/>
      <c r="AJ989" s="1729">
        <f>IF(ISERROR((R989*AB989)),0,(R989*AB989))</f>
        <v>0</v>
      </c>
      <c r="AK989" s="1730"/>
      <c r="AL989" s="1730"/>
      <c r="AM989" s="1730"/>
      <c r="AN989" s="1730"/>
      <c r="AO989" s="1730"/>
      <c r="AP989" s="1730"/>
      <c r="AQ989" s="1731"/>
      <c r="AR989" s="68"/>
      <c r="AS989" s="68"/>
      <c r="AT989" s="68"/>
      <c r="AU989" s="68"/>
      <c r="AV989" s="68"/>
      <c r="AW989" s="68"/>
      <c r="AX989" s="68"/>
      <c r="AY989" s="68"/>
      <c r="AZ989" s="30"/>
      <c r="BA989" s="34"/>
      <c r="BB989" s="14"/>
      <c r="BC989" s="14"/>
    </row>
    <row r="990" spans="1:64" ht="13" customHeight="1">
      <c r="A990" s="14"/>
      <c r="B990" s="47"/>
      <c r="C990" s="78"/>
      <c r="D990" s="1740" t="s">
        <v>460</v>
      </c>
      <c r="E990" s="1741"/>
      <c r="F990" s="1741"/>
      <c r="G990" s="1741"/>
      <c r="H990" s="1741"/>
      <c r="I990" s="1741"/>
      <c r="J990" s="1741"/>
      <c r="K990" s="1741"/>
      <c r="L990" s="1741"/>
      <c r="M990" s="1741"/>
      <c r="N990" s="1741"/>
      <c r="O990" s="1741"/>
      <c r="P990" s="1741"/>
      <c r="Q990" s="1742"/>
      <c r="R990" s="1736">
        <f>IF(ISNA(IF($CU$122="4%",(INDEX($CS$160:$CW$217,MATCH($DG$122,$CR$160:$CR$217,0),MATCH(D990,$CS$159:$CW$159,0))),(INDEX($CZ$160:$DD$217,MATCH($DG$122,$CY$160:$CY$217,0),MATCH(D990,$CZ$159:$DD$159,0))))),0,IF($CU$122="4%",(INDEX($CS$160:$CW$217,MATCH($DG$122,$CR$160:$CR$217,0),MATCH(D990,$CS$159:$CW$159,0))),(INDEX($CZ$160:$DD$217,MATCH($DG$122,$CY$160:$CY$217,0),MATCH(D990,$CZ$159:$DD$159,0)))))</f>
        <v>700451</v>
      </c>
      <c r="S990" s="1736"/>
      <c r="T990" s="1736"/>
      <c r="U990" s="1736"/>
      <c r="V990" s="1736"/>
      <c r="W990" s="1736"/>
      <c r="X990" s="1736"/>
      <c r="Y990" s="1736"/>
      <c r="Z990" s="1736"/>
      <c r="AA990" s="1736"/>
      <c r="AB990" s="1813">
        <f>DO802+DJ802</f>
        <v>0</v>
      </c>
      <c r="AC990" s="1814"/>
      <c r="AD990" s="1814"/>
      <c r="AE990" s="1814"/>
      <c r="AF990" s="1814"/>
      <c r="AG990" s="1814"/>
      <c r="AH990" s="1814"/>
      <c r="AI990" s="1815"/>
      <c r="AJ990" s="1729">
        <f>IF(ISERROR((R990*AB990)),0,(R990*AB990))</f>
        <v>0</v>
      </c>
      <c r="AK990" s="1730"/>
      <c r="AL990" s="1730"/>
      <c r="AM990" s="1730"/>
      <c r="AN990" s="1730"/>
      <c r="AO990" s="1730"/>
      <c r="AP990" s="1730"/>
      <c r="AQ990" s="1731"/>
      <c r="AR990" s="68"/>
      <c r="AS990" s="68"/>
      <c r="AT990" s="68"/>
      <c r="AU990" s="68"/>
      <c r="AV990" s="68"/>
      <c r="AW990" s="68"/>
      <c r="AX990" s="68"/>
      <c r="AY990" s="68"/>
      <c r="AZ990" s="30"/>
      <c r="BB990" s="14"/>
      <c r="BC990" s="14"/>
    </row>
    <row r="991" spans="1:64" ht="13" customHeight="1">
      <c r="A991" s="14"/>
      <c r="B991" s="1801" t="s">
        <v>791</v>
      </c>
      <c r="C991" s="1802"/>
      <c r="D991" s="1802"/>
      <c r="E991" s="1802"/>
      <c r="F991" s="1802"/>
      <c r="G991" s="1802"/>
      <c r="H991" s="1802"/>
      <c r="I991" s="1802"/>
      <c r="J991" s="1802"/>
      <c r="K991" s="1802"/>
      <c r="L991" s="1802"/>
      <c r="M991" s="1802"/>
      <c r="N991" s="1802"/>
      <c r="O991" s="1802"/>
      <c r="P991" s="1802"/>
      <c r="Q991" s="1802"/>
      <c r="R991" s="1802"/>
      <c r="S991" s="1802"/>
      <c r="T991" s="1802"/>
      <c r="U991" s="1802"/>
      <c r="V991" s="1802"/>
      <c r="W991" s="1802"/>
      <c r="X991" s="1802"/>
      <c r="Y991" s="1802"/>
      <c r="Z991" s="1802"/>
      <c r="AA991" s="1803"/>
      <c r="AB991" s="1813">
        <f>SUM(AB986:AI990)</f>
        <v>200</v>
      </c>
      <c r="AC991" s="1814"/>
      <c r="AD991" s="1814"/>
      <c r="AE991" s="1814"/>
      <c r="AF991" s="1814"/>
      <c r="AG991" s="1814"/>
      <c r="AH991" s="1814"/>
      <c r="AI991" s="1815"/>
      <c r="AJ991" s="1729"/>
      <c r="AK991" s="1730"/>
      <c r="AL991" s="1730"/>
      <c r="AM991" s="1730"/>
      <c r="AN991" s="1730"/>
      <c r="AO991" s="1730"/>
      <c r="AP991" s="1730"/>
      <c r="AQ991" s="1731"/>
      <c r="AR991" s="68"/>
      <c r="AS991" s="68"/>
      <c r="AT991" s="68"/>
      <c r="AU991" s="68"/>
      <c r="AV991" s="68"/>
      <c r="AW991" s="68"/>
      <c r="AX991" s="68"/>
      <c r="AY991" s="68"/>
      <c r="AZ991" s="34"/>
      <c r="BA991" s="34"/>
      <c r="BB991" s="14"/>
      <c r="BC991" s="14"/>
    </row>
    <row r="992" spans="1:64" ht="13" customHeight="1">
      <c r="A992" s="14"/>
      <c r="B992" s="1790" t="s">
        <v>512</v>
      </c>
      <c r="C992" s="1791"/>
      <c r="D992" s="1791"/>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1"/>
      <c r="AF992" s="1791"/>
      <c r="AG992" s="1791"/>
      <c r="AH992" s="1791"/>
      <c r="AI992" s="1792"/>
      <c r="AJ992" s="1729">
        <f>SUM(AJ986:AQ990)</f>
        <v>86984670</v>
      </c>
      <c r="AK992" s="1730"/>
      <c r="AL992" s="1730"/>
      <c r="AM992" s="1730"/>
      <c r="AN992" s="1730"/>
      <c r="AO992" s="1730"/>
      <c r="AP992" s="1730"/>
      <c r="AQ992" s="1731"/>
      <c r="AR992" s="68"/>
      <c r="AS992" s="68"/>
      <c r="AT992" s="68"/>
      <c r="AU992" s="68"/>
      <c r="AV992" s="68"/>
      <c r="AW992" s="68"/>
      <c r="AX992" s="68"/>
      <c r="AY992" s="68"/>
      <c r="AZ992" s="34"/>
      <c r="BB992" s="34"/>
      <c r="BC992" s="34"/>
    </row>
    <row r="993" spans="1:55" ht="13" customHeight="1">
      <c r="A993" s="14"/>
      <c r="B993" s="1822"/>
      <c r="C993" s="1823"/>
      <c r="D993" s="1823"/>
      <c r="E993" s="1823"/>
      <c r="F993" s="1823"/>
      <c r="G993" s="1823"/>
      <c r="H993" s="1823"/>
      <c r="I993" s="1823"/>
      <c r="J993" s="1823"/>
      <c r="K993" s="1823"/>
      <c r="L993" s="1823"/>
      <c r="M993" s="1823"/>
      <c r="N993" s="1823"/>
      <c r="O993" s="1823"/>
      <c r="P993" s="1823"/>
      <c r="Q993" s="1823"/>
      <c r="R993" s="1823"/>
      <c r="S993" s="1823"/>
      <c r="T993" s="1823"/>
      <c r="U993" s="1823"/>
      <c r="V993" s="1823"/>
      <c r="W993" s="1823"/>
      <c r="X993" s="1823"/>
      <c r="Y993" s="1823"/>
      <c r="Z993" s="1823"/>
      <c r="AA993" s="1823"/>
      <c r="AB993" s="1823"/>
      <c r="AC993" s="1823"/>
      <c r="AD993" s="1823"/>
      <c r="AE993" s="1824"/>
      <c r="AF993" s="1825" t="s">
        <v>666</v>
      </c>
      <c r="AG993" s="1826"/>
      <c r="AH993" s="1826"/>
      <c r="AI993" s="1827"/>
      <c r="AJ993" s="1822"/>
      <c r="AK993" s="1823"/>
      <c r="AL993" s="1823"/>
      <c r="AM993" s="1823"/>
      <c r="AN993" s="1823"/>
      <c r="AO993" s="1823"/>
      <c r="AP993" s="1823"/>
      <c r="AQ993" s="1824"/>
      <c r="AR993" s="68"/>
      <c r="AS993" s="68"/>
      <c r="AT993" s="68"/>
      <c r="AU993" s="68"/>
      <c r="AV993" s="68"/>
      <c r="AW993" s="68"/>
      <c r="AX993" s="68"/>
      <c r="AY993" s="68"/>
      <c r="AZ993" s="34"/>
      <c r="BA993" s="34"/>
      <c r="BB993" s="34"/>
      <c r="BC993" s="34"/>
    </row>
    <row r="994" spans="1:55" ht="13" customHeight="1">
      <c r="A994" s="14"/>
      <c r="B994" s="73"/>
      <c r="C994" s="927" t="s">
        <v>668</v>
      </c>
      <c r="D994" s="1745" t="s">
        <v>1220</v>
      </c>
      <c r="E994" s="1746"/>
      <c r="F994" s="1746"/>
      <c r="G994" s="1746"/>
      <c r="H994" s="1746"/>
      <c r="I994" s="1746"/>
      <c r="J994" s="1746"/>
      <c r="K994" s="1746"/>
      <c r="L994" s="1746"/>
      <c r="M994" s="1746"/>
      <c r="N994" s="1746"/>
      <c r="O994" s="1746"/>
      <c r="P994" s="1746"/>
      <c r="Q994" s="1746"/>
      <c r="R994" s="1746"/>
      <c r="S994" s="1746"/>
      <c r="T994" s="1746"/>
      <c r="U994" s="1746"/>
      <c r="V994" s="1746"/>
      <c r="W994" s="1746"/>
      <c r="X994" s="1746"/>
      <c r="Y994" s="1746"/>
      <c r="Z994" s="1746"/>
      <c r="AA994" s="1746"/>
      <c r="AB994" s="1746"/>
      <c r="AC994" s="1746"/>
      <c r="AD994" s="1746"/>
      <c r="AE994" s="1747"/>
      <c r="AF994" s="79"/>
      <c r="AG994" s="1828" t="s">
        <v>669</v>
      </c>
      <c r="AH994" s="1829"/>
      <c r="AI994" s="87"/>
      <c r="AJ994" s="1753">
        <f>ROUND(IF(AND(AG994="yes",D1000&gt;0),AJ992*0.2,0),0)</f>
        <v>0</v>
      </c>
      <c r="AK994" s="1754"/>
      <c r="AL994" s="1754"/>
      <c r="AM994" s="1754"/>
      <c r="AN994" s="1754"/>
      <c r="AO994" s="1754"/>
      <c r="AP994" s="1754"/>
      <c r="AQ994" s="1755"/>
      <c r="AR994" s="68"/>
      <c r="AS994" s="68"/>
      <c r="AT994" s="68"/>
      <c r="AU994" s="68"/>
      <c r="AV994" s="68"/>
      <c r="AW994" s="68"/>
      <c r="AX994" s="68"/>
      <c r="AY994" s="68"/>
      <c r="AZ994" s="34"/>
      <c r="BA994" s="34"/>
      <c r="BB994" s="34"/>
      <c r="BC994" s="34"/>
    </row>
    <row r="995" spans="1:55" ht="13" customHeight="1">
      <c r="A995" s="14"/>
      <c r="B995" s="257"/>
      <c r="C995" s="256"/>
      <c r="D995" s="1771" t="s">
        <v>2234</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56"/>
      <c r="AK995" s="1757"/>
      <c r="AL995" s="1757"/>
      <c r="AM995" s="1757"/>
      <c r="AN995" s="1757"/>
      <c r="AO995" s="1757"/>
      <c r="AP995" s="1757"/>
      <c r="AQ995" s="1758"/>
      <c r="AR995" s="68"/>
      <c r="AS995" s="68"/>
      <c r="AT995" s="68"/>
      <c r="AU995" s="68"/>
      <c r="AV995" s="68"/>
      <c r="AW995" s="68"/>
      <c r="AX995" s="68"/>
      <c r="AY995" s="68"/>
      <c r="AZ995" s="34"/>
      <c r="BA995" s="34"/>
      <c r="BB995" s="34"/>
      <c r="BC995" s="34"/>
    </row>
    <row r="996" spans="1:55" ht="13"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56"/>
      <c r="AK996" s="1757"/>
      <c r="AL996" s="1757"/>
      <c r="AM996" s="1757"/>
      <c r="AN996" s="1757"/>
      <c r="AO996" s="1757"/>
      <c r="AP996" s="1757"/>
      <c r="AQ996" s="1758"/>
      <c r="AR996" s="68"/>
      <c r="AS996" s="68"/>
      <c r="AT996" s="68"/>
      <c r="AU996" s="68"/>
      <c r="AV996" s="68"/>
      <c r="AW996" s="68"/>
      <c r="AX996" s="68"/>
      <c r="AY996" s="68"/>
      <c r="AZ996" s="34"/>
      <c r="BA996" s="34"/>
      <c r="BB996" s="34"/>
      <c r="BC996" s="34"/>
    </row>
    <row r="997" spans="1:55" ht="13"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56"/>
      <c r="AK997" s="1757"/>
      <c r="AL997" s="1757"/>
      <c r="AM997" s="1757"/>
      <c r="AN997" s="1757"/>
      <c r="AO997" s="1757"/>
      <c r="AP997" s="1757"/>
      <c r="AQ997" s="1758"/>
      <c r="AR997" s="68"/>
      <c r="AS997" s="68"/>
      <c r="AT997" s="68"/>
      <c r="AU997" s="68"/>
      <c r="AV997" s="68"/>
      <c r="AW997" s="68"/>
      <c r="AX997" s="68"/>
      <c r="AY997" s="68"/>
      <c r="AZ997" s="34"/>
      <c r="BA997" s="34"/>
      <c r="BB997" s="34"/>
      <c r="BC997" s="34"/>
    </row>
    <row r="998" spans="1:55" ht="13"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56"/>
      <c r="AK998" s="1757"/>
      <c r="AL998" s="1757"/>
      <c r="AM998" s="1757"/>
      <c r="AN998" s="1757"/>
      <c r="AO998" s="1757"/>
      <c r="AP998" s="1757"/>
      <c r="AQ998" s="1758"/>
      <c r="AR998" s="68"/>
      <c r="AS998" s="68"/>
      <c r="AT998" s="68"/>
      <c r="AU998" s="68"/>
      <c r="AV998" s="68"/>
      <c r="AW998" s="68"/>
      <c r="AX998" s="68"/>
      <c r="AY998" s="68"/>
      <c r="AZ998" s="34"/>
      <c r="BA998" s="34"/>
      <c r="BB998" s="34"/>
      <c r="BC998" s="34"/>
    </row>
    <row r="999" spans="1:55" ht="13" customHeight="1">
      <c r="A999" s="14"/>
      <c r="B999" s="257"/>
      <c r="C999" s="256"/>
      <c r="D999" s="1774" t="s">
        <v>2205</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56"/>
      <c r="AK999" s="1757"/>
      <c r="AL999" s="1757"/>
      <c r="AM999" s="1757"/>
      <c r="AN999" s="1757"/>
      <c r="AO999" s="1757"/>
      <c r="AP999" s="1757"/>
      <c r="AQ999" s="1758"/>
      <c r="AR999" s="68"/>
      <c r="AS999" s="68"/>
      <c r="AT999" s="68"/>
      <c r="AU999" s="68"/>
      <c r="AV999" s="68"/>
      <c r="AW999" s="68"/>
      <c r="AX999" s="68"/>
      <c r="AY999" s="68"/>
      <c r="AZ999" s="34"/>
      <c r="BA999" s="34"/>
      <c r="BB999" s="34"/>
      <c r="BC999" s="34"/>
    </row>
    <row r="1000" spans="1:55" ht="13" customHeight="1">
      <c r="A1000" s="14"/>
      <c r="B1000" s="257"/>
      <c r="C1000" s="256"/>
      <c r="D1000" s="1804"/>
      <c r="E1000" s="1805"/>
      <c r="F1000" s="1805"/>
      <c r="G1000" s="1805"/>
      <c r="H1000" s="1805"/>
      <c r="I1000" s="1805"/>
      <c r="J1000" s="1805"/>
      <c r="K1000" s="1805"/>
      <c r="L1000" s="1805"/>
      <c r="M1000" s="1805"/>
      <c r="N1000" s="1805"/>
      <c r="O1000" s="1805"/>
      <c r="P1000" s="1805"/>
      <c r="Q1000" s="1805"/>
      <c r="R1000" s="1805"/>
      <c r="S1000" s="1805"/>
      <c r="T1000" s="1805"/>
      <c r="U1000" s="1805"/>
      <c r="V1000" s="1805"/>
      <c r="W1000" s="1805"/>
      <c r="X1000" s="1805"/>
      <c r="Y1000" s="1805"/>
      <c r="Z1000" s="1805"/>
      <c r="AA1000" s="1805"/>
      <c r="AB1000" s="1805"/>
      <c r="AC1000" s="1805"/>
      <c r="AD1000" s="1805"/>
      <c r="AE1000" s="1806"/>
      <c r="AF1000" s="77"/>
      <c r="AG1000" s="7"/>
      <c r="AH1000" s="7"/>
      <c r="AI1000" s="78"/>
      <c r="AJ1000" s="1762"/>
      <c r="AK1000" s="1763"/>
      <c r="AL1000" s="1763"/>
      <c r="AM1000" s="1763"/>
      <c r="AN1000" s="1763"/>
      <c r="AO1000" s="1763"/>
      <c r="AP1000" s="1763"/>
      <c r="AQ1000" s="1764"/>
      <c r="AR1000" s="68"/>
      <c r="AS1000" s="68"/>
      <c r="AT1000" s="68"/>
      <c r="AU1000" s="68"/>
      <c r="AV1000" s="68"/>
      <c r="AW1000" s="68"/>
      <c r="AX1000" s="68"/>
      <c r="AY1000" s="68"/>
      <c r="AZ1000" s="34"/>
      <c r="BA1000" s="34"/>
      <c r="BB1000" s="34"/>
      <c r="BC1000" s="34"/>
    </row>
    <row r="1001" spans="1:55" ht="13" customHeight="1">
      <c r="A1001" s="14"/>
      <c r="B1001" s="255"/>
      <c r="C1001" s="318"/>
      <c r="D1001" s="1759" t="s">
        <v>1286</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79"/>
      <c r="AG1001" s="1743" t="s">
        <v>669</v>
      </c>
      <c r="AH1001" s="1744"/>
      <c r="AI1001" s="87"/>
      <c r="AJ1001" s="1753">
        <f>ROUND(IF(AG1001="yes",AJ992*0.05,0),0)</f>
        <v>0</v>
      </c>
      <c r="AK1001" s="1754"/>
      <c r="AL1001" s="1754"/>
      <c r="AM1001" s="1754"/>
      <c r="AN1001" s="1754"/>
      <c r="AO1001" s="1754"/>
      <c r="AP1001" s="1754"/>
      <c r="AQ1001" s="1755"/>
      <c r="AR1001" s="68"/>
      <c r="AS1001" s="68"/>
      <c r="AT1001" s="68"/>
      <c r="AU1001" s="68"/>
      <c r="AV1001" s="68"/>
      <c r="AW1001" s="68"/>
      <c r="AX1001" s="68"/>
      <c r="AY1001" s="68"/>
      <c r="AZ1001" s="34"/>
      <c r="BA1001" s="34"/>
      <c r="BB1001" s="34"/>
      <c r="BC1001" s="34"/>
    </row>
    <row r="1002" spans="1:55" ht="13" customHeight="1">
      <c r="A1002" s="14"/>
      <c r="B1002" s="257"/>
      <c r="C1002" s="82"/>
      <c r="D1002" s="1771" t="s">
        <v>1284</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56"/>
      <c r="AK1002" s="1757"/>
      <c r="AL1002" s="1757"/>
      <c r="AM1002" s="1757"/>
      <c r="AN1002" s="1757"/>
      <c r="AO1002" s="1757"/>
      <c r="AP1002" s="1757"/>
      <c r="AQ1002" s="1758"/>
      <c r="AR1002" s="68"/>
      <c r="AS1002" s="68"/>
      <c r="AT1002" s="68"/>
      <c r="AU1002" s="68"/>
      <c r="AV1002" s="68"/>
      <c r="AW1002" s="68"/>
      <c r="AX1002" s="68"/>
      <c r="AY1002" s="34"/>
      <c r="AZ1002" s="34"/>
      <c r="BB1002" s="34"/>
    </row>
    <row r="1003" spans="1:55" ht="13"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56"/>
      <c r="AK1003" s="1757"/>
      <c r="AL1003" s="1757"/>
      <c r="AM1003" s="1757"/>
      <c r="AN1003" s="1757"/>
      <c r="AO1003" s="1757"/>
      <c r="AP1003" s="1757"/>
      <c r="AQ1003" s="1758"/>
      <c r="AR1003" s="68"/>
      <c r="AS1003" s="68"/>
      <c r="AT1003" s="68"/>
      <c r="AU1003" s="68"/>
      <c r="AV1003" s="68"/>
      <c r="AW1003" s="68"/>
      <c r="AX1003" s="68"/>
      <c r="AY1003" s="914">
        <f>G753+O797</f>
        <v>198</v>
      </c>
      <c r="AZ1003" s="34"/>
      <c r="BB1003" s="34"/>
    </row>
    <row r="1004" spans="1:55" ht="13"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56"/>
      <c r="AK1004" s="1757"/>
      <c r="AL1004" s="1757"/>
      <c r="AM1004" s="1757"/>
      <c r="AN1004" s="1757"/>
      <c r="AO1004" s="1757"/>
      <c r="AP1004" s="1757"/>
      <c r="AQ1004" s="1758"/>
      <c r="AR1004" s="68"/>
      <c r="AS1004" s="68"/>
      <c r="AT1004" s="68"/>
      <c r="AU1004" s="68"/>
      <c r="AV1004" s="68"/>
      <c r="AW1004" s="68"/>
      <c r="AX1004" s="68"/>
      <c r="AY1004" s="14"/>
      <c r="AZ1004" s="34"/>
      <c r="BB1004" s="34"/>
    </row>
    <row r="1005" spans="1:55" ht="13"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56"/>
      <c r="AK1005" s="1757"/>
      <c r="AL1005" s="1757"/>
      <c r="AM1005" s="1757"/>
      <c r="AN1005" s="1757"/>
      <c r="AO1005" s="1757"/>
      <c r="AP1005" s="1757"/>
      <c r="AQ1005" s="1758"/>
      <c r="AR1005" s="68"/>
      <c r="AS1005" s="68"/>
      <c r="AT1005" s="68"/>
      <c r="AU1005" s="68"/>
      <c r="AV1005" s="68"/>
      <c r="AW1005" s="68"/>
      <c r="AX1005" s="68"/>
      <c r="AY1005" s="913">
        <f>ROUNDDOWN(X1048/I1048,2)</f>
        <v>0.1</v>
      </c>
      <c r="AZ1005" s="34"/>
      <c r="BB1005" s="34"/>
    </row>
    <row r="1006" spans="1:55" ht="13"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62"/>
      <c r="AK1006" s="1763"/>
      <c r="AL1006" s="1763"/>
      <c r="AM1006" s="1763"/>
      <c r="AN1006" s="1763"/>
      <c r="AO1006" s="1763"/>
      <c r="AP1006" s="1763"/>
      <c r="AQ1006" s="1764"/>
      <c r="AR1006" s="68"/>
      <c r="AS1006" s="68"/>
      <c r="AT1006" s="68"/>
      <c r="AU1006" s="68"/>
      <c r="AV1006" s="68"/>
      <c r="AW1006" s="68"/>
      <c r="AX1006" s="68"/>
      <c r="AY1006" s="913">
        <f>ROUNDDOWN(X1052/I1052,2)</f>
        <v>0.1</v>
      </c>
      <c r="AZ1006" s="34"/>
      <c r="BB1006" s="34"/>
    </row>
    <row r="1007" spans="1:55" ht="13" customHeight="1">
      <c r="A1007" s="14"/>
      <c r="B1007" s="255"/>
      <c r="C1007" s="80" t="s">
        <v>672</v>
      </c>
      <c r="D1007" s="1759" t="s">
        <v>1683</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86"/>
      <c r="AG1007" s="1743" t="s">
        <v>669</v>
      </c>
      <c r="AH1007" s="1744"/>
      <c r="AI1007" s="87"/>
      <c r="AJ1007" s="1753">
        <f>ROUND(IF(AG1007="yes",AJ992*0.1,0),0)</f>
        <v>0</v>
      </c>
      <c r="AK1007" s="1754"/>
      <c r="AL1007" s="1754"/>
      <c r="AM1007" s="1754"/>
      <c r="AN1007" s="1754"/>
      <c r="AO1007" s="1754"/>
      <c r="AP1007" s="1754"/>
      <c r="AQ1007" s="1755"/>
      <c r="AR1007" s="68"/>
      <c r="AS1007" s="68"/>
      <c r="AT1007" s="68"/>
      <c r="AU1007" s="68"/>
      <c r="AV1007" s="68"/>
      <c r="AW1007" s="68"/>
      <c r="AX1007" s="68"/>
      <c r="BB1007" s="34"/>
    </row>
    <row r="1008" spans="1:55" ht="13" customHeight="1">
      <c r="A1008" s="14"/>
      <c r="B1008" s="73"/>
      <c r="C1008" s="74"/>
      <c r="D1008" s="1737" t="s">
        <v>1285</v>
      </c>
      <c r="E1008" s="1738"/>
      <c r="F1008" s="1738"/>
      <c r="G1008" s="1738"/>
      <c r="H1008" s="1738"/>
      <c r="I1008" s="1738"/>
      <c r="J1008" s="1738"/>
      <c r="K1008" s="1738"/>
      <c r="L1008" s="1738"/>
      <c r="M1008" s="1738"/>
      <c r="N1008" s="1738"/>
      <c r="O1008" s="1738"/>
      <c r="P1008" s="1738"/>
      <c r="Q1008" s="1738"/>
      <c r="R1008" s="1738"/>
      <c r="S1008" s="1738"/>
      <c r="T1008" s="1738"/>
      <c r="U1008" s="1738"/>
      <c r="V1008" s="1738"/>
      <c r="W1008" s="1738"/>
      <c r="X1008" s="1738"/>
      <c r="Y1008" s="1738"/>
      <c r="Z1008" s="1738"/>
      <c r="AA1008" s="1738"/>
      <c r="AB1008" s="1738"/>
      <c r="AC1008" s="1738"/>
      <c r="AD1008" s="1738"/>
      <c r="AE1008" s="1739"/>
      <c r="AF1008" s="73"/>
      <c r="AI1008" s="83"/>
      <c r="AJ1008" s="1756"/>
      <c r="AK1008" s="1757"/>
      <c r="AL1008" s="1757"/>
      <c r="AM1008" s="1757"/>
      <c r="AN1008" s="1757"/>
      <c r="AO1008" s="1757"/>
      <c r="AP1008" s="1757"/>
      <c r="AQ1008" s="1758"/>
      <c r="AR1008" s="68"/>
      <c r="AS1008" s="68"/>
      <c r="AT1008" s="68"/>
      <c r="AU1008" s="68"/>
      <c r="AV1008" s="68"/>
      <c r="AW1008" s="68"/>
      <c r="AX1008" s="68"/>
    </row>
    <row r="1009" spans="1:52" ht="13" customHeight="1">
      <c r="A1009" s="14"/>
      <c r="B1009" s="73"/>
      <c r="C1009" s="74"/>
      <c r="D1009" s="1737"/>
      <c r="E1009" s="1738"/>
      <c r="F1009" s="1738"/>
      <c r="G1009" s="1738"/>
      <c r="H1009" s="1738"/>
      <c r="I1009" s="1738"/>
      <c r="J1009" s="1738"/>
      <c r="K1009" s="1738"/>
      <c r="L1009" s="1738"/>
      <c r="M1009" s="1738"/>
      <c r="N1009" s="1738"/>
      <c r="O1009" s="1738"/>
      <c r="P1009" s="1738"/>
      <c r="Q1009" s="1738"/>
      <c r="R1009" s="1738"/>
      <c r="S1009" s="1738"/>
      <c r="T1009" s="1738"/>
      <c r="U1009" s="1738"/>
      <c r="V1009" s="1738"/>
      <c r="W1009" s="1738"/>
      <c r="X1009" s="1738"/>
      <c r="Y1009" s="1738"/>
      <c r="Z1009" s="1738"/>
      <c r="AA1009" s="1738"/>
      <c r="AB1009" s="1738"/>
      <c r="AC1009" s="1738"/>
      <c r="AD1009" s="1738"/>
      <c r="AE1009" s="1739"/>
      <c r="AF1009" s="73"/>
      <c r="AG1009" s="14"/>
      <c r="AH1009" s="14"/>
      <c r="AI1009" s="83"/>
      <c r="AJ1009" s="1756"/>
      <c r="AK1009" s="1757"/>
      <c r="AL1009" s="1757"/>
      <c r="AM1009" s="1757"/>
      <c r="AN1009" s="1757"/>
      <c r="AO1009" s="1757"/>
      <c r="AP1009" s="1757"/>
      <c r="AQ1009" s="1758"/>
      <c r="AR1009" s="68"/>
      <c r="AS1009" s="68"/>
      <c r="AT1009" s="68"/>
      <c r="AU1009" s="68"/>
      <c r="AV1009" s="68"/>
      <c r="AW1009" s="68"/>
      <c r="AX1009" s="68"/>
    </row>
    <row r="1010" spans="1:52" ht="13" customHeight="1">
      <c r="A1010" s="14"/>
      <c r="B1010" s="85"/>
      <c r="C1010" s="76"/>
      <c r="D1010" s="1750"/>
      <c r="E1010" s="1751"/>
      <c r="F1010" s="1751"/>
      <c r="G1010" s="1751"/>
      <c r="H1010" s="1751"/>
      <c r="I1010" s="1751"/>
      <c r="J1010" s="1751"/>
      <c r="K1010" s="1751"/>
      <c r="L1010" s="1751"/>
      <c r="M1010" s="1751"/>
      <c r="N1010" s="1751"/>
      <c r="O1010" s="1751"/>
      <c r="P1010" s="1751"/>
      <c r="Q1010" s="1751"/>
      <c r="R1010" s="1751"/>
      <c r="S1010" s="1751"/>
      <c r="T1010" s="1751"/>
      <c r="U1010" s="1751"/>
      <c r="V1010" s="1751"/>
      <c r="W1010" s="1751"/>
      <c r="X1010" s="1751"/>
      <c r="Y1010" s="1751"/>
      <c r="Z1010" s="1751"/>
      <c r="AA1010" s="1751"/>
      <c r="AB1010" s="1751"/>
      <c r="AC1010" s="1751"/>
      <c r="AD1010" s="1751"/>
      <c r="AE1010" s="1752"/>
      <c r="AF1010" s="77"/>
      <c r="AG1010" s="7"/>
      <c r="AH1010" s="7"/>
      <c r="AI1010" s="78"/>
      <c r="AJ1010" s="1762"/>
      <c r="AK1010" s="1763"/>
      <c r="AL1010" s="1763"/>
      <c r="AM1010" s="1763"/>
      <c r="AN1010" s="1763"/>
      <c r="AO1010" s="1763"/>
      <c r="AP1010" s="1763"/>
      <c r="AQ1010" s="1764"/>
      <c r="AR1010" s="68"/>
      <c r="AS1010" s="68"/>
      <c r="AT1010" s="68"/>
      <c r="AU1010" s="68"/>
      <c r="AV1010" s="68"/>
      <c r="AW1010" s="68"/>
      <c r="AX1010" s="68"/>
    </row>
    <row r="1011" spans="1:52" ht="13" customHeight="1">
      <c r="A1011" s="14"/>
      <c r="B1011" s="79"/>
      <c r="C1011" s="80" t="s">
        <v>212</v>
      </c>
      <c r="D1011" s="1759" t="s">
        <v>1287</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9"/>
      <c r="AG1011" s="1743" t="s">
        <v>669</v>
      </c>
      <c r="AH1011" s="1744"/>
      <c r="AI1011" s="87"/>
      <c r="AJ1011" s="1753">
        <f>ROUND(IF(AG1011="yes",AJ992*0.02,0),0)</f>
        <v>0</v>
      </c>
      <c r="AK1011" s="1754"/>
      <c r="AL1011" s="1754"/>
      <c r="AM1011" s="1754"/>
      <c r="AN1011" s="1754"/>
      <c r="AO1011" s="1754"/>
      <c r="AP1011" s="1754"/>
      <c r="AQ1011" s="1755"/>
      <c r="AR1011" s="68"/>
      <c r="AS1011" s="68"/>
      <c r="AT1011" s="68"/>
      <c r="AU1011" s="68"/>
      <c r="AV1011" s="68"/>
      <c r="AW1011" s="68"/>
      <c r="AX1011" s="68"/>
    </row>
    <row r="1012" spans="1:52" ht="14.25" customHeight="1">
      <c r="A1012" s="14"/>
      <c r="B1012" s="73"/>
      <c r="C1012" s="74"/>
      <c r="D1012" s="1750" t="s">
        <v>1288</v>
      </c>
      <c r="E1012" s="1751"/>
      <c r="F1012" s="1751"/>
      <c r="G1012" s="1751"/>
      <c r="H1012" s="1751"/>
      <c r="I1012" s="1751"/>
      <c r="J1012" s="1751"/>
      <c r="K1012" s="1751"/>
      <c r="L1012" s="1751"/>
      <c r="M1012" s="1751"/>
      <c r="N1012" s="1751"/>
      <c r="O1012" s="1751"/>
      <c r="P1012" s="1751"/>
      <c r="Q1012" s="1751"/>
      <c r="R1012" s="1751"/>
      <c r="S1012" s="1751"/>
      <c r="T1012" s="1751"/>
      <c r="U1012" s="1751"/>
      <c r="V1012" s="1751"/>
      <c r="W1012" s="1751"/>
      <c r="X1012" s="1751"/>
      <c r="Y1012" s="1751"/>
      <c r="Z1012" s="1751"/>
      <c r="AA1012" s="1751"/>
      <c r="AB1012" s="1751"/>
      <c r="AC1012" s="1751"/>
      <c r="AD1012" s="1751"/>
      <c r="AE1012" s="1752"/>
      <c r="AF1012" s="77"/>
      <c r="AG1012" s="7"/>
      <c r="AH1012" s="7"/>
      <c r="AI1012" s="78"/>
      <c r="AJ1012" s="1762"/>
      <c r="AK1012" s="1763"/>
      <c r="AL1012" s="1763"/>
      <c r="AM1012" s="1763"/>
      <c r="AN1012" s="1763"/>
      <c r="AO1012" s="1763"/>
      <c r="AP1012" s="1763"/>
      <c r="AQ1012" s="1764"/>
      <c r="AR1012" s="68"/>
      <c r="AS1012" s="68"/>
      <c r="AT1012" s="68"/>
      <c r="AU1012" s="68"/>
      <c r="AV1012" s="68"/>
      <c r="AW1012" s="68"/>
      <c r="AX1012" s="3" t="s">
        <v>1841</v>
      </c>
      <c r="AZ1012" s="3" t="s">
        <v>2606</v>
      </c>
    </row>
    <row r="1013" spans="1:52" ht="13" customHeight="1">
      <c r="A1013" s="14"/>
      <c r="B1013" s="79"/>
      <c r="C1013" s="80" t="s">
        <v>215</v>
      </c>
      <c r="D1013" s="1759" t="s">
        <v>1289</v>
      </c>
      <c r="E1013" s="1760"/>
      <c r="F1013" s="1760"/>
      <c r="G1013" s="1760"/>
      <c r="H1013" s="1760"/>
      <c r="I1013" s="1760"/>
      <c r="J1013" s="1760"/>
      <c r="K1013" s="1760"/>
      <c r="L1013" s="1760"/>
      <c r="M1013" s="1760"/>
      <c r="N1013" s="1760"/>
      <c r="O1013" s="1760"/>
      <c r="P1013" s="1760"/>
      <c r="Q1013" s="1760"/>
      <c r="R1013" s="1760"/>
      <c r="S1013" s="1760"/>
      <c r="T1013" s="1760"/>
      <c r="U1013" s="1760"/>
      <c r="V1013" s="1760"/>
      <c r="W1013" s="1760"/>
      <c r="X1013" s="1760"/>
      <c r="Y1013" s="1760"/>
      <c r="Z1013" s="1760"/>
      <c r="AA1013" s="1760"/>
      <c r="AB1013" s="1760"/>
      <c r="AC1013" s="1760"/>
      <c r="AD1013" s="1760"/>
      <c r="AE1013" s="1761"/>
      <c r="AF1013" s="79"/>
      <c r="AG1013" s="1743" t="s">
        <v>669</v>
      </c>
      <c r="AH1013" s="1744"/>
      <c r="AI1013" s="79"/>
      <c r="AJ1013" s="1753">
        <f>ROUND(IF(AG1013="yes",AJ992*0.02,0),0)</f>
        <v>0</v>
      </c>
      <c r="AK1013" s="1754"/>
      <c r="AL1013" s="1754"/>
      <c r="AM1013" s="1754"/>
      <c r="AN1013" s="1754"/>
      <c r="AO1013" s="1754"/>
      <c r="AP1013" s="1754"/>
      <c r="AQ1013" s="175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37" t="s">
        <v>1290</v>
      </c>
      <c r="E1014" s="1738"/>
      <c r="F1014" s="1738"/>
      <c r="G1014" s="1738"/>
      <c r="H1014" s="1738"/>
      <c r="I1014" s="1738"/>
      <c r="J1014" s="1738"/>
      <c r="K1014" s="1738"/>
      <c r="L1014" s="1738"/>
      <c r="M1014" s="1738"/>
      <c r="N1014" s="1738"/>
      <c r="O1014" s="1738"/>
      <c r="P1014" s="1738"/>
      <c r="Q1014" s="1738"/>
      <c r="R1014" s="1738"/>
      <c r="S1014" s="1738"/>
      <c r="T1014" s="1738"/>
      <c r="U1014" s="1738"/>
      <c r="V1014" s="1738"/>
      <c r="W1014" s="1738"/>
      <c r="X1014" s="1738"/>
      <c r="Y1014" s="1738"/>
      <c r="Z1014" s="1738"/>
      <c r="AA1014" s="1738"/>
      <c r="AB1014" s="1738"/>
      <c r="AC1014" s="1738"/>
      <c r="AD1014" s="1738"/>
      <c r="AE1014" s="1739"/>
      <c r="AF1014" s="1855" t="str">
        <f>IF(AND(AG1013="yes",T212&lt;&gt;1),"The project may not be eligible for this boost","")</f>
        <v/>
      </c>
      <c r="AG1014" s="1856"/>
      <c r="AH1014" s="1856"/>
      <c r="AI1014" s="1857"/>
      <c r="AJ1014" s="1756"/>
      <c r="AK1014" s="1757"/>
      <c r="AL1014" s="1757"/>
      <c r="AM1014" s="1757"/>
      <c r="AN1014" s="1757"/>
      <c r="AO1014" s="1757"/>
      <c r="AP1014" s="1757"/>
      <c r="AQ1014" s="175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1858"/>
      <c r="AG1015" s="1859"/>
      <c r="AH1015" s="1859"/>
      <c r="AI1015" s="1860"/>
      <c r="AJ1015" s="1762"/>
      <c r="AK1015" s="1763"/>
      <c r="AL1015" s="1763"/>
      <c r="AM1015" s="1763"/>
      <c r="AN1015" s="1763"/>
      <c r="AO1015" s="1763"/>
      <c r="AP1015" s="1763"/>
      <c r="AQ1015" s="1764"/>
      <c r="AR1015" s="68"/>
      <c r="AS1015" s="68"/>
      <c r="AT1015" s="68"/>
      <c r="AU1015" s="68"/>
      <c r="AV1015" s="68"/>
      <c r="AW1015" s="68"/>
      <c r="AX1015" s="3">
        <v>3</v>
      </c>
      <c r="AY1015" s="200">
        <f t="shared" si="53"/>
        <v>0</v>
      </c>
      <c r="AZ1015" s="1255">
        <v>0.05</v>
      </c>
    </row>
    <row r="1016" spans="1:52" ht="13" customHeight="1">
      <c r="A1016" s="14"/>
      <c r="B1016" s="79"/>
      <c r="C1016" s="80" t="s">
        <v>218</v>
      </c>
      <c r="D1016" s="1745" t="s">
        <v>2235</v>
      </c>
      <c r="E1016" s="1746"/>
      <c r="F1016" s="1746"/>
      <c r="G1016" s="1746"/>
      <c r="H1016" s="1746"/>
      <c r="I1016" s="1746"/>
      <c r="J1016" s="1746"/>
      <c r="K1016" s="1746"/>
      <c r="L1016" s="1746"/>
      <c r="M1016" s="1746"/>
      <c r="N1016" s="1746"/>
      <c r="O1016" s="1746"/>
      <c r="P1016" s="1746"/>
      <c r="Q1016" s="1746"/>
      <c r="R1016" s="1746"/>
      <c r="S1016" s="1746"/>
      <c r="T1016" s="1746"/>
      <c r="U1016" s="1746"/>
      <c r="V1016" s="1746"/>
      <c r="W1016" s="1746"/>
      <c r="X1016" s="1746"/>
      <c r="Y1016" s="1746"/>
      <c r="Z1016" s="1746"/>
      <c r="AA1016" s="1746"/>
      <c r="AB1016" s="1746"/>
      <c r="AC1016" s="1746"/>
      <c r="AD1016" s="1746"/>
      <c r="AE1016" s="1747"/>
      <c r="AF1016" s="79"/>
      <c r="AG1016" s="1743" t="s">
        <v>669</v>
      </c>
      <c r="AH1016" s="1744"/>
      <c r="AI1016" s="87"/>
      <c r="AJ1016" s="1753">
        <f>IF(AG1016="yes",AJ992*AY1024,0)</f>
        <v>0</v>
      </c>
      <c r="AK1016" s="1754"/>
      <c r="AL1016" s="1754"/>
      <c r="AM1016" s="1754"/>
      <c r="AN1016" s="1754"/>
      <c r="AO1016" s="1754"/>
      <c r="AP1016" s="1754"/>
      <c r="AQ1016" s="1755"/>
      <c r="AR1016" s="68"/>
      <c r="AS1016" s="68"/>
      <c r="AT1016" s="68"/>
      <c r="AU1016" s="68"/>
      <c r="AV1016" s="68"/>
      <c r="AW1016" s="68"/>
      <c r="AX1016" s="3">
        <v>4</v>
      </c>
      <c r="AY1016" s="200">
        <f t="shared" si="53"/>
        <v>0</v>
      </c>
      <c r="AZ1016" s="1255">
        <v>0.02</v>
      </c>
    </row>
    <row r="1017" spans="1:52" ht="13" customHeight="1">
      <c r="A1017" s="14"/>
      <c r="B1017" s="73"/>
      <c r="C1017" s="74"/>
      <c r="D1017" s="1737" t="s">
        <v>1291</v>
      </c>
      <c r="E1017" s="1738"/>
      <c r="F1017" s="1738"/>
      <c r="G1017" s="1738"/>
      <c r="H1017" s="1738"/>
      <c r="I1017" s="1738"/>
      <c r="J1017" s="1738"/>
      <c r="K1017" s="1738"/>
      <c r="L1017" s="1738"/>
      <c r="M1017" s="1738"/>
      <c r="N1017" s="1738"/>
      <c r="O1017" s="1738"/>
      <c r="P1017" s="1738"/>
      <c r="Q1017" s="1738"/>
      <c r="R1017" s="1738"/>
      <c r="S1017" s="1738"/>
      <c r="T1017" s="1738"/>
      <c r="U1017" s="1738"/>
      <c r="V1017" s="1738"/>
      <c r="W1017" s="1738"/>
      <c r="X1017" s="1738"/>
      <c r="Y1017" s="1738"/>
      <c r="Z1017" s="1738"/>
      <c r="AA1017" s="1738"/>
      <c r="AB1017" s="1738"/>
      <c r="AC1017" s="1738"/>
      <c r="AD1017" s="1738"/>
      <c r="AE1017" s="1739"/>
      <c r="AF1017" s="1849" t="str">
        <f>IF(AND(AG1016="Yes",AY1024=0),AY1027,"")</f>
        <v/>
      </c>
      <c r="AG1017" s="1850"/>
      <c r="AH1017" s="1850"/>
      <c r="AI1017" s="1851"/>
      <c r="AJ1017" s="1756"/>
      <c r="AK1017" s="1757"/>
      <c r="AL1017" s="1757"/>
      <c r="AM1017" s="1757"/>
      <c r="AN1017" s="1757"/>
      <c r="AO1017" s="1757"/>
      <c r="AP1017" s="1757"/>
      <c r="AQ1017" s="1758"/>
      <c r="AR1017" s="68"/>
      <c r="AS1017" s="68"/>
      <c r="AT1017" s="68"/>
      <c r="AU1017" s="68"/>
      <c r="AV1017" s="68"/>
      <c r="AW1017" s="68"/>
      <c r="AX1017" s="3">
        <v>5</v>
      </c>
      <c r="AY1017" s="200">
        <f t="shared" si="53"/>
        <v>0</v>
      </c>
      <c r="AZ1017" s="1255">
        <v>0.04</v>
      </c>
    </row>
    <row r="1018" spans="1:52" ht="13" customHeight="1">
      <c r="A1018" s="14"/>
      <c r="B1018" s="73"/>
      <c r="C1018" s="74"/>
      <c r="D1018" s="1737"/>
      <c r="E1018" s="1738"/>
      <c r="F1018" s="1738"/>
      <c r="G1018" s="1738"/>
      <c r="H1018" s="1738"/>
      <c r="I1018" s="1738"/>
      <c r="J1018" s="1738"/>
      <c r="K1018" s="1738"/>
      <c r="L1018" s="1738"/>
      <c r="M1018" s="1738"/>
      <c r="N1018" s="1738"/>
      <c r="O1018" s="1738"/>
      <c r="P1018" s="1738"/>
      <c r="Q1018" s="1738"/>
      <c r="R1018" s="1738"/>
      <c r="S1018" s="1738"/>
      <c r="T1018" s="1738"/>
      <c r="U1018" s="1738"/>
      <c r="V1018" s="1738"/>
      <c r="W1018" s="1738"/>
      <c r="X1018" s="1738"/>
      <c r="Y1018" s="1738"/>
      <c r="Z1018" s="1738"/>
      <c r="AA1018" s="1738"/>
      <c r="AB1018" s="1738"/>
      <c r="AC1018" s="1738"/>
      <c r="AD1018" s="1738"/>
      <c r="AE1018" s="1739"/>
      <c r="AF1018" s="1849"/>
      <c r="AG1018" s="1850"/>
      <c r="AH1018" s="1850"/>
      <c r="AI1018" s="1851"/>
      <c r="AJ1018" s="1756"/>
      <c r="AK1018" s="1757"/>
      <c r="AL1018" s="1757"/>
      <c r="AM1018" s="1757"/>
      <c r="AN1018" s="1757"/>
      <c r="AO1018" s="1757"/>
      <c r="AP1018" s="1757"/>
      <c r="AQ1018" s="1758"/>
      <c r="AR1018" s="68"/>
      <c r="AS1018" s="68"/>
      <c r="AT1018" s="68"/>
      <c r="AU1018" s="68"/>
      <c r="AV1018" s="68"/>
      <c r="AW1018" s="68"/>
      <c r="AX1018" s="3">
        <v>6</v>
      </c>
      <c r="AY1018" s="200">
        <f t="shared" si="53"/>
        <v>0</v>
      </c>
      <c r="AZ1018" s="1255">
        <v>0.04</v>
      </c>
    </row>
    <row r="1019" spans="1:52" ht="13" customHeight="1">
      <c r="A1019" s="14"/>
      <c r="B1019" s="81"/>
      <c r="C1019" s="82"/>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1852"/>
      <c r="AG1019" s="1853"/>
      <c r="AH1019" s="1853"/>
      <c r="AI1019" s="1854"/>
      <c r="AJ1019" s="1762"/>
      <c r="AK1019" s="1763"/>
      <c r="AL1019" s="1763"/>
      <c r="AM1019" s="1763"/>
      <c r="AN1019" s="1763"/>
      <c r="AO1019" s="1763"/>
      <c r="AP1019" s="1763"/>
      <c r="AQ1019" s="1764"/>
      <c r="AR1019" s="68"/>
      <c r="AS1019" s="68"/>
      <c r="AT1019" s="68"/>
      <c r="AU1019" s="68"/>
      <c r="AV1019" s="68"/>
      <c r="AW1019" s="68"/>
      <c r="AX1019" s="3">
        <v>7</v>
      </c>
      <c r="AY1019" s="200">
        <f t="shared" si="53"/>
        <v>0</v>
      </c>
      <c r="AZ1019" s="1255">
        <v>0.01</v>
      </c>
    </row>
    <row r="1020" spans="1:52" ht="13" customHeight="1">
      <c r="A1020" s="14"/>
      <c r="B1020" s="79"/>
      <c r="C1020" s="80" t="s">
        <v>223</v>
      </c>
      <c r="D1020" s="1807" t="s">
        <v>1292</v>
      </c>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79"/>
      <c r="AG1020" s="1743" t="s">
        <v>669</v>
      </c>
      <c r="AH1020" s="1744"/>
      <c r="AI1020" s="87"/>
      <c r="AJ1020" s="1753">
        <f>ROUND(IF(AND(AG1020="Yes",J1024&lt;&gt;"N/A",AF1023&lt;&gt;""),MIN(AF1023,(0.15*AJ992)),0),0)</f>
        <v>0</v>
      </c>
      <c r="AK1020" s="1754"/>
      <c r="AL1020" s="1754"/>
      <c r="AM1020" s="1754"/>
      <c r="AN1020" s="1754"/>
      <c r="AO1020" s="1754"/>
      <c r="AP1020" s="1754"/>
      <c r="AQ1020" s="1755"/>
      <c r="AR1020" s="68"/>
      <c r="AS1020" s="68"/>
      <c r="AT1020" s="68"/>
      <c r="AU1020" s="68"/>
      <c r="AV1020" s="68"/>
      <c r="AW1020" s="68"/>
      <c r="AX1020" s="3">
        <v>8</v>
      </c>
      <c r="AY1020" s="200">
        <f t="shared" si="53"/>
        <v>0</v>
      </c>
      <c r="AZ1020" s="1255">
        <v>0.01</v>
      </c>
    </row>
    <row r="1021" spans="1:52" ht="13" customHeight="1">
      <c r="A1021" s="14"/>
      <c r="B1021" s="81"/>
      <c r="C1021" s="84"/>
      <c r="D1021" s="1810"/>
      <c r="E1021" s="1811"/>
      <c r="F1021" s="1811"/>
      <c r="G1021" s="1811"/>
      <c r="H1021" s="1811"/>
      <c r="I1021" s="1811"/>
      <c r="J1021" s="1811"/>
      <c r="K1021" s="1811"/>
      <c r="L1021" s="1811"/>
      <c r="M1021" s="1811"/>
      <c r="N1021" s="1811"/>
      <c r="O1021" s="1811"/>
      <c r="P1021" s="1811"/>
      <c r="Q1021" s="1811"/>
      <c r="R1021" s="1811"/>
      <c r="S1021" s="1811"/>
      <c r="T1021" s="1811"/>
      <c r="U1021" s="1811"/>
      <c r="V1021" s="1811"/>
      <c r="W1021" s="1811"/>
      <c r="X1021" s="1811"/>
      <c r="Y1021" s="1811"/>
      <c r="Z1021" s="1811"/>
      <c r="AA1021" s="1811"/>
      <c r="AB1021" s="1811"/>
      <c r="AC1021" s="1811"/>
      <c r="AD1021" s="1811"/>
      <c r="AE1021" s="1812"/>
      <c r="AF1021" s="1830" t="str">
        <f>IF(AG1020="yes","Please Select Type and Enter Amount:","")</f>
        <v/>
      </c>
      <c r="AG1021" s="1831"/>
      <c r="AH1021" s="1831"/>
      <c r="AI1021" s="1832"/>
      <c r="AJ1021" s="1756"/>
      <c r="AK1021" s="1757"/>
      <c r="AL1021" s="1757"/>
      <c r="AM1021" s="1757"/>
      <c r="AN1021" s="1757"/>
      <c r="AO1021" s="1757"/>
      <c r="AP1021" s="1757"/>
      <c r="AQ1021" s="1758"/>
      <c r="AR1021" s="68"/>
      <c r="AS1021" s="68"/>
      <c r="AT1021" s="68"/>
      <c r="AU1021" s="68"/>
      <c r="AV1021" s="68"/>
      <c r="AW1021" s="68"/>
      <c r="AX1021" s="3">
        <v>9</v>
      </c>
      <c r="AY1021" s="200">
        <f t="shared" si="53"/>
        <v>0</v>
      </c>
      <c r="AZ1021" s="1255">
        <v>0.01</v>
      </c>
    </row>
    <row r="1022" spans="1:52" ht="13" customHeight="1">
      <c r="A1022" s="14"/>
      <c r="B1022" s="81"/>
      <c r="C1022" s="84"/>
      <c r="D1022" s="1737" t="s">
        <v>1293</v>
      </c>
      <c r="E1022" s="1738"/>
      <c r="F1022" s="1738"/>
      <c r="G1022" s="1738"/>
      <c r="H1022" s="1738"/>
      <c r="I1022" s="1738"/>
      <c r="J1022" s="1738"/>
      <c r="K1022" s="1738"/>
      <c r="L1022" s="1738"/>
      <c r="M1022" s="1738"/>
      <c r="N1022" s="1738"/>
      <c r="O1022" s="1738"/>
      <c r="P1022" s="1738"/>
      <c r="Q1022" s="1738"/>
      <c r="R1022" s="1738"/>
      <c r="S1022" s="1738"/>
      <c r="T1022" s="1738"/>
      <c r="U1022" s="1738"/>
      <c r="V1022" s="1738"/>
      <c r="W1022" s="1738"/>
      <c r="X1022" s="1738"/>
      <c r="Y1022" s="1738"/>
      <c r="Z1022" s="1738"/>
      <c r="AA1022" s="1738"/>
      <c r="AB1022" s="1738"/>
      <c r="AC1022" s="1738"/>
      <c r="AD1022" s="1738"/>
      <c r="AE1022" s="1739"/>
      <c r="AF1022" s="1830"/>
      <c r="AG1022" s="1831"/>
      <c r="AH1022" s="1831"/>
      <c r="AI1022" s="1832"/>
      <c r="AJ1022" s="1756"/>
      <c r="AK1022" s="1757"/>
      <c r="AL1022" s="1757"/>
      <c r="AM1022" s="1757"/>
      <c r="AN1022" s="1757"/>
      <c r="AO1022" s="1757"/>
      <c r="AP1022" s="1757"/>
      <c r="AQ1022" s="1758"/>
      <c r="AR1022" s="68"/>
      <c r="AS1022" s="68"/>
      <c r="AT1022" s="68"/>
      <c r="AU1022" s="68"/>
      <c r="AV1022" s="68"/>
      <c r="AW1022" s="68"/>
      <c r="AX1022" s="3">
        <v>10</v>
      </c>
      <c r="AY1022" s="200">
        <f t="shared" si="53"/>
        <v>0</v>
      </c>
      <c r="AZ1022" s="1255">
        <v>0.02</v>
      </c>
    </row>
    <row r="1023" spans="1:52" ht="13" customHeight="1">
      <c r="A1023" s="14"/>
      <c r="B1023" s="81"/>
      <c r="C1023" s="84"/>
      <c r="D1023" s="1737"/>
      <c r="E1023" s="1738"/>
      <c r="F1023" s="1738"/>
      <c r="G1023" s="1738"/>
      <c r="H1023" s="1738"/>
      <c r="I1023" s="1738"/>
      <c r="J1023" s="1738"/>
      <c r="K1023" s="1738"/>
      <c r="L1023" s="1738"/>
      <c r="M1023" s="1738"/>
      <c r="N1023" s="1738"/>
      <c r="O1023" s="1738"/>
      <c r="P1023" s="1738"/>
      <c r="Q1023" s="1738"/>
      <c r="R1023" s="1738"/>
      <c r="S1023" s="1738"/>
      <c r="T1023" s="1738"/>
      <c r="U1023" s="1738"/>
      <c r="V1023" s="1738"/>
      <c r="W1023" s="1738"/>
      <c r="X1023" s="1738"/>
      <c r="Y1023" s="1738"/>
      <c r="Z1023" s="1738"/>
      <c r="AA1023" s="1738"/>
      <c r="AB1023" s="1738"/>
      <c r="AC1023" s="1738"/>
      <c r="AD1023" s="1738"/>
      <c r="AE1023" s="1739"/>
      <c r="AF1023" s="1777"/>
      <c r="AG1023" s="1777"/>
      <c r="AH1023" s="1777"/>
      <c r="AI1023" s="1777"/>
      <c r="AJ1023" s="1756"/>
      <c r="AK1023" s="1757"/>
      <c r="AL1023" s="1757"/>
      <c r="AM1023" s="1757"/>
      <c r="AN1023" s="1757"/>
      <c r="AO1023" s="1757"/>
      <c r="AP1023" s="1757"/>
      <c r="AQ1023" s="1758"/>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19" t="s">
        <v>591</v>
      </c>
      <c r="K1024" s="1820"/>
      <c r="L1024" s="1820"/>
      <c r="M1024" s="1820"/>
      <c r="N1024" s="1820"/>
      <c r="O1024" s="1820"/>
      <c r="P1024" s="1820"/>
      <c r="Q1024" s="1820"/>
      <c r="R1024" s="1820"/>
      <c r="S1024" s="1820"/>
      <c r="T1024" s="1820"/>
      <c r="U1024" s="1820"/>
      <c r="V1024" s="1820"/>
      <c r="W1024" s="1820"/>
      <c r="X1024" s="1820"/>
      <c r="Y1024" s="1820"/>
      <c r="Z1024" s="1820"/>
      <c r="AA1024" s="1820"/>
      <c r="AB1024" s="1820"/>
      <c r="AC1024" s="1820"/>
      <c r="AD1024" s="1820"/>
      <c r="AE1024" s="1821"/>
      <c r="AF1024" s="1777"/>
      <c r="AG1024" s="1777"/>
      <c r="AH1024" s="1777"/>
      <c r="AI1024" s="1777"/>
      <c r="AJ1024" s="1762"/>
      <c r="AK1024" s="1763"/>
      <c r="AL1024" s="1763"/>
      <c r="AM1024" s="1763"/>
      <c r="AN1024" s="1763"/>
      <c r="AO1024" s="1763"/>
      <c r="AP1024" s="1763"/>
      <c r="AQ1024" s="1764"/>
      <c r="AR1024" s="68"/>
      <c r="AS1024" s="68"/>
      <c r="AT1024" s="68"/>
      <c r="AU1024" s="68"/>
      <c r="AV1024" s="68"/>
      <c r="AW1024" s="68"/>
      <c r="AX1024" s="1032" t="s">
        <v>2605</v>
      </c>
      <c r="AY1024" s="201">
        <f>IF(SUM(AY1013:AY1023)&lt;=0.2,SUM(AY1013:AY1023),0.2)</f>
        <v>0</v>
      </c>
    </row>
    <row r="1025" spans="1:57" ht="13" customHeight="1">
      <c r="A1025" s="14"/>
      <c r="B1025" s="79"/>
      <c r="C1025" s="80" t="s">
        <v>229</v>
      </c>
      <c r="D1025" s="1759" t="s">
        <v>1294</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43" t="s">
        <v>669</v>
      </c>
      <c r="AH1025" s="1744"/>
      <c r="AI1025" s="87"/>
      <c r="AJ1025" s="1753">
        <f>ROUND(IF(AG1025="Yes",AF1027,0),0)</f>
        <v>0</v>
      </c>
      <c r="AK1025" s="1754"/>
      <c r="AL1025" s="1754"/>
      <c r="AM1025" s="1754"/>
      <c r="AN1025" s="1754"/>
      <c r="AO1025" s="1754"/>
      <c r="AP1025" s="1754"/>
      <c r="AQ1025" s="1755"/>
      <c r="AR1025" s="68"/>
      <c r="AS1025" s="68"/>
      <c r="AT1025" s="68"/>
      <c r="AU1025" s="68"/>
      <c r="AV1025" s="68"/>
      <c r="AW1025" s="68"/>
      <c r="AX1025" s="68"/>
      <c r="AY1025" s="68"/>
    </row>
    <row r="1026" spans="1:57" ht="13" customHeight="1">
      <c r="A1026" s="14"/>
      <c r="B1026" s="73"/>
      <c r="C1026" s="74"/>
      <c r="D1026" s="1737" t="s">
        <v>1690</v>
      </c>
      <c r="E1026" s="1738"/>
      <c r="F1026" s="1738"/>
      <c r="G1026" s="1738"/>
      <c r="H1026" s="1738"/>
      <c r="I1026" s="1738"/>
      <c r="J1026" s="1738"/>
      <c r="K1026" s="1738"/>
      <c r="L1026" s="1738"/>
      <c r="M1026" s="1738"/>
      <c r="N1026" s="1738"/>
      <c r="O1026" s="1738"/>
      <c r="P1026" s="1738"/>
      <c r="Q1026" s="1738"/>
      <c r="R1026" s="1738"/>
      <c r="S1026" s="1738"/>
      <c r="T1026" s="1738"/>
      <c r="U1026" s="1738"/>
      <c r="V1026" s="1738"/>
      <c r="W1026" s="1738"/>
      <c r="X1026" s="1738"/>
      <c r="Y1026" s="1738"/>
      <c r="Z1026" s="1738"/>
      <c r="AA1026" s="1738"/>
      <c r="AB1026" s="1738"/>
      <c r="AC1026" s="1738"/>
      <c r="AD1026" s="1738"/>
      <c r="AE1026" s="1739"/>
      <c r="AF1026" s="1816" t="str">
        <f>IF(AG1025="yes","Enter Amount:","")</f>
        <v/>
      </c>
      <c r="AG1026" s="1817"/>
      <c r="AH1026" s="1817"/>
      <c r="AI1026" s="1818"/>
      <c r="AJ1026" s="1756"/>
      <c r="AK1026" s="1757"/>
      <c r="AL1026" s="1757"/>
      <c r="AM1026" s="1757"/>
      <c r="AN1026" s="1757"/>
      <c r="AO1026" s="1757"/>
      <c r="AP1026" s="1757"/>
      <c r="AQ1026" s="1758"/>
      <c r="AR1026" s="68"/>
      <c r="AS1026" s="68"/>
      <c r="AT1026" s="68"/>
      <c r="AU1026" s="68"/>
      <c r="AV1026" s="68"/>
      <c r="AW1026" s="68"/>
      <c r="AX1026" s="68"/>
      <c r="AY1026" s="68"/>
    </row>
    <row r="1027" spans="1:57" ht="13" customHeight="1">
      <c r="A1027" s="14"/>
      <c r="B1027" s="73"/>
      <c r="C1027" s="74"/>
      <c r="D1027" s="1737"/>
      <c r="E1027" s="1738"/>
      <c r="F1027" s="1738"/>
      <c r="G1027" s="1738"/>
      <c r="H1027" s="1738"/>
      <c r="I1027" s="1738"/>
      <c r="J1027" s="1738"/>
      <c r="K1027" s="1738"/>
      <c r="L1027" s="1738"/>
      <c r="M1027" s="1738"/>
      <c r="N1027" s="1738"/>
      <c r="O1027" s="1738"/>
      <c r="P1027" s="1738"/>
      <c r="Q1027" s="1738"/>
      <c r="R1027" s="1738"/>
      <c r="S1027" s="1738"/>
      <c r="T1027" s="1738"/>
      <c r="U1027" s="1738"/>
      <c r="V1027" s="1738"/>
      <c r="W1027" s="1738"/>
      <c r="X1027" s="1738"/>
      <c r="Y1027" s="1738"/>
      <c r="Z1027" s="1738"/>
      <c r="AA1027" s="1738"/>
      <c r="AB1027" s="1738"/>
      <c r="AC1027" s="1738"/>
      <c r="AD1027" s="1738"/>
      <c r="AE1027" s="1739"/>
      <c r="AF1027" s="1777"/>
      <c r="AG1027" s="1777"/>
      <c r="AH1027" s="1777"/>
      <c r="AI1027" s="1777"/>
      <c r="AJ1027" s="1756"/>
      <c r="AK1027" s="1757"/>
      <c r="AL1027" s="1757"/>
      <c r="AM1027" s="1757"/>
      <c r="AN1027" s="1757"/>
      <c r="AO1027" s="1757"/>
      <c r="AP1027" s="1757"/>
      <c r="AQ1027" s="175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777"/>
      <c r="AG1028" s="1777"/>
      <c r="AH1028" s="1777"/>
      <c r="AI1028" s="1777"/>
      <c r="AJ1028" s="1762"/>
      <c r="AK1028" s="1763"/>
      <c r="AL1028" s="1763"/>
      <c r="AM1028" s="1763"/>
      <c r="AN1028" s="1763"/>
      <c r="AO1028" s="1763"/>
      <c r="AP1028" s="1763"/>
      <c r="AQ1028" s="1764"/>
      <c r="AR1028" s="68"/>
      <c r="AS1028" s="68"/>
      <c r="AT1028" s="68"/>
      <c r="AU1028" s="68"/>
      <c r="AV1028" s="68"/>
      <c r="AW1028" s="68"/>
      <c r="AX1028" s="68"/>
      <c r="AY1028" s="68"/>
    </row>
    <row r="1029" spans="1:57" ht="13" customHeight="1">
      <c r="A1029" s="14"/>
      <c r="B1029" s="79"/>
      <c r="C1029" s="80" t="s">
        <v>234</v>
      </c>
      <c r="D1029" s="1745" t="s">
        <v>1295</v>
      </c>
      <c r="E1029" s="1746"/>
      <c r="F1029" s="1746"/>
      <c r="G1029" s="1746"/>
      <c r="H1029" s="1746"/>
      <c r="I1029" s="1746"/>
      <c r="J1029" s="1746"/>
      <c r="K1029" s="1746"/>
      <c r="L1029" s="1746"/>
      <c r="M1029" s="1746"/>
      <c r="N1029" s="1746"/>
      <c r="O1029" s="1746"/>
      <c r="P1029" s="1746"/>
      <c r="Q1029" s="1746"/>
      <c r="R1029" s="1746"/>
      <c r="S1029" s="1746"/>
      <c r="T1029" s="1746"/>
      <c r="U1029" s="1746"/>
      <c r="V1029" s="1746"/>
      <c r="W1029" s="1746"/>
      <c r="X1029" s="1746"/>
      <c r="Y1029" s="1746"/>
      <c r="Z1029" s="1746"/>
      <c r="AA1029" s="1746"/>
      <c r="AB1029" s="1746"/>
      <c r="AC1029" s="1746"/>
      <c r="AD1029" s="1746"/>
      <c r="AE1029" s="1747"/>
      <c r="AF1029" s="79"/>
      <c r="AG1029" s="1743" t="s">
        <v>545</v>
      </c>
      <c r="AH1029" s="1744"/>
      <c r="AI1029" s="87"/>
      <c r="AJ1029" s="1753">
        <f>ROUND(IF(AG1029="yes",(AJ992*0.1),0),0)</f>
        <v>8698467</v>
      </c>
      <c r="AK1029" s="1754"/>
      <c r="AL1029" s="1754"/>
      <c r="AM1029" s="1754"/>
      <c r="AN1029" s="1754"/>
      <c r="AO1029" s="1754"/>
      <c r="AP1029" s="1754"/>
      <c r="AQ1029" s="1755"/>
      <c r="AR1029" s="68"/>
      <c r="AS1029" s="68"/>
      <c r="AT1029" s="68"/>
      <c r="AU1029" s="68"/>
      <c r="AV1029" s="68"/>
      <c r="AW1029" s="68"/>
      <c r="AX1029" s="68"/>
      <c r="AY1029" s="68"/>
    </row>
    <row r="1030" spans="1:57" ht="13" customHeight="1">
      <c r="A1030" s="14"/>
      <c r="B1030" s="73"/>
      <c r="C1030" s="74"/>
      <c r="D1030" s="1737" t="s">
        <v>1296</v>
      </c>
      <c r="E1030" s="1738"/>
      <c r="F1030" s="1738"/>
      <c r="G1030" s="1738"/>
      <c r="H1030" s="1738"/>
      <c r="I1030" s="1738"/>
      <c r="J1030" s="1738"/>
      <c r="K1030" s="1738"/>
      <c r="L1030" s="1738"/>
      <c r="M1030" s="1738"/>
      <c r="N1030" s="1738"/>
      <c r="O1030" s="1738"/>
      <c r="P1030" s="1738"/>
      <c r="Q1030" s="1738"/>
      <c r="R1030" s="1738"/>
      <c r="S1030" s="1738"/>
      <c r="T1030" s="1738"/>
      <c r="U1030" s="1738"/>
      <c r="V1030" s="1738"/>
      <c r="W1030" s="1738"/>
      <c r="X1030" s="1738"/>
      <c r="Y1030" s="1738"/>
      <c r="Z1030" s="1738"/>
      <c r="AA1030" s="1738"/>
      <c r="AB1030" s="1738"/>
      <c r="AC1030" s="1738"/>
      <c r="AD1030" s="1738"/>
      <c r="AE1030" s="1739"/>
      <c r="AF1030" s="73"/>
      <c r="AG1030" s="14"/>
      <c r="AH1030" s="14"/>
      <c r="AI1030" s="83"/>
      <c r="AJ1030" s="1756"/>
      <c r="AK1030" s="1757"/>
      <c r="AL1030" s="1757"/>
      <c r="AM1030" s="1757"/>
      <c r="AN1030" s="1757"/>
      <c r="AO1030" s="1757"/>
      <c r="AP1030" s="1757"/>
      <c r="AQ1030" s="1758"/>
      <c r="AR1030" s="68"/>
      <c r="AS1030" s="68"/>
      <c r="AT1030" s="68"/>
      <c r="AU1030" s="68"/>
      <c r="AV1030" s="68"/>
      <c r="AW1030" s="68"/>
      <c r="AX1030" s="68"/>
      <c r="AY1030" s="68"/>
    </row>
    <row r="1031" spans="1:57" ht="13" customHeight="1">
      <c r="A1031" s="14"/>
      <c r="B1031" s="77"/>
      <c r="C1031" s="74"/>
      <c r="D1031" s="1750"/>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73"/>
      <c r="AG1031" s="14"/>
      <c r="AH1031" s="14"/>
      <c r="AI1031" s="83"/>
      <c r="AJ1031" s="1762"/>
      <c r="AK1031" s="1763"/>
      <c r="AL1031" s="1763"/>
      <c r="AM1031" s="1763"/>
      <c r="AN1031" s="1763"/>
      <c r="AO1031" s="1763"/>
      <c r="AP1031" s="1763"/>
      <c r="AQ1031" s="1764"/>
      <c r="AR1031" s="68"/>
      <c r="AS1031" s="68"/>
      <c r="AT1031" s="68"/>
      <c r="AU1031" s="68"/>
      <c r="AV1031" s="68"/>
      <c r="AW1031" s="68"/>
      <c r="AX1031" s="68"/>
      <c r="AY1031" s="68"/>
    </row>
    <row r="1032" spans="1:57" ht="13" customHeight="1">
      <c r="A1032" s="14"/>
      <c r="B1032" s="73"/>
      <c r="C1032" s="339" t="s">
        <v>687</v>
      </c>
      <c r="D1032" s="1759" t="s">
        <v>1686</v>
      </c>
      <c r="E1032" s="1760"/>
      <c r="F1032" s="1760"/>
      <c r="G1032" s="1760"/>
      <c r="H1032" s="1760"/>
      <c r="I1032" s="1760"/>
      <c r="J1032" s="1760"/>
      <c r="K1032" s="1760"/>
      <c r="L1032" s="1760"/>
      <c r="M1032" s="1760"/>
      <c r="N1032" s="1760"/>
      <c r="O1032" s="1760"/>
      <c r="P1032" s="1760"/>
      <c r="Q1032" s="1760"/>
      <c r="R1032" s="1760"/>
      <c r="S1032" s="1760"/>
      <c r="T1032" s="1760"/>
      <c r="U1032" s="1760"/>
      <c r="V1032" s="1760"/>
      <c r="W1032" s="1760"/>
      <c r="X1032" s="1760"/>
      <c r="Y1032" s="1760"/>
      <c r="Z1032" s="1760"/>
      <c r="AA1032" s="1760"/>
      <c r="AB1032" s="1760"/>
      <c r="AC1032" s="1760"/>
      <c r="AD1032" s="1760"/>
      <c r="AE1032" s="1761"/>
      <c r="AF1032" s="79"/>
      <c r="AG1032" s="1743" t="s">
        <v>669</v>
      </c>
      <c r="AH1032" s="1744"/>
      <c r="AI1032" s="87"/>
      <c r="AJ1032" s="1753">
        <f>ROUND(IF(AG1032="yes",(AJ992*0.15),0),0)</f>
        <v>0</v>
      </c>
      <c r="AK1032" s="1754"/>
      <c r="AL1032" s="1754"/>
      <c r="AM1032" s="1754"/>
      <c r="AN1032" s="1754"/>
      <c r="AO1032" s="1754"/>
      <c r="AP1032" s="1754"/>
      <c r="AQ1032" s="1755"/>
      <c r="AR1032" s="68"/>
      <c r="AS1032" s="68"/>
      <c r="AT1032" s="68"/>
      <c r="AU1032" s="68"/>
      <c r="AV1032" s="68"/>
      <c r="AW1032" s="68"/>
      <c r="AX1032" s="68"/>
      <c r="AY1032" s="68"/>
    </row>
    <row r="1033" spans="1:57" ht="13" customHeight="1">
      <c r="A1033" s="14"/>
      <c r="B1033" s="73"/>
      <c r="C1033" s="74"/>
      <c r="D1033" s="1796"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7"/>
      <c r="AF1033" s="915"/>
      <c r="AG1033" s="916"/>
      <c r="AH1033" s="916"/>
      <c r="AI1033" s="917"/>
      <c r="AJ1033" s="1756"/>
      <c r="AK1033" s="1757"/>
      <c r="AL1033" s="1757"/>
      <c r="AM1033" s="1757"/>
      <c r="AN1033" s="1757"/>
      <c r="AO1033" s="1757"/>
      <c r="AP1033" s="1757"/>
      <c r="AQ1033" s="1758"/>
      <c r="AR1033" s="68"/>
      <c r="AS1033" s="68"/>
      <c r="AT1033" s="68"/>
      <c r="AU1033" s="68"/>
      <c r="AV1033" s="68"/>
      <c r="AW1033" s="68"/>
      <c r="AX1033" s="68"/>
      <c r="AY1033" s="68"/>
    </row>
    <row r="1034" spans="1:57" ht="13" customHeight="1">
      <c r="A1034" s="14"/>
      <c r="B1034" s="73"/>
      <c r="C1034" s="74"/>
      <c r="D1034" s="179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7"/>
      <c r="AF1034" s="915"/>
      <c r="AG1034" s="916"/>
      <c r="AH1034" s="916"/>
      <c r="AI1034" s="917"/>
      <c r="AJ1034" s="1756"/>
      <c r="AK1034" s="1757"/>
      <c r="AL1034" s="1757"/>
      <c r="AM1034" s="1757"/>
      <c r="AN1034" s="1757"/>
      <c r="AO1034" s="1757"/>
      <c r="AP1034" s="1757"/>
      <c r="AQ1034" s="1758"/>
      <c r="AR1034" s="68"/>
      <c r="AS1034" s="68"/>
      <c r="AT1034" s="68"/>
      <c r="AU1034" s="68"/>
      <c r="AV1034" s="68"/>
      <c r="AW1034" s="68"/>
      <c r="AX1034" s="68"/>
      <c r="AY1034" s="68"/>
    </row>
    <row r="1035" spans="1:57" ht="13" customHeight="1">
      <c r="A1035" s="14"/>
      <c r="B1035" s="73"/>
      <c r="C1035" s="74"/>
      <c r="D1035" s="1798"/>
      <c r="E1035" s="1799"/>
      <c r="F1035" s="1799"/>
      <c r="G1035" s="1799"/>
      <c r="H1035" s="1799"/>
      <c r="I1035" s="1799"/>
      <c r="J1035" s="1799"/>
      <c r="K1035" s="1799"/>
      <c r="L1035" s="1799"/>
      <c r="M1035" s="1799"/>
      <c r="N1035" s="1799"/>
      <c r="O1035" s="1799"/>
      <c r="P1035" s="1799"/>
      <c r="Q1035" s="1799"/>
      <c r="R1035" s="1799"/>
      <c r="S1035" s="1799"/>
      <c r="T1035" s="1799"/>
      <c r="U1035" s="1799"/>
      <c r="V1035" s="1799"/>
      <c r="W1035" s="1799"/>
      <c r="X1035" s="1799"/>
      <c r="Y1035" s="1799"/>
      <c r="Z1035" s="1799"/>
      <c r="AA1035" s="1799"/>
      <c r="AB1035" s="1799"/>
      <c r="AC1035" s="1799"/>
      <c r="AD1035" s="1799"/>
      <c r="AE1035" s="1800"/>
      <c r="AF1035" s="918"/>
      <c r="AG1035" s="919"/>
      <c r="AH1035" s="919"/>
      <c r="AI1035" s="920"/>
      <c r="AJ1035" s="1762"/>
      <c r="AK1035" s="1763"/>
      <c r="AL1035" s="1763"/>
      <c r="AM1035" s="1763"/>
      <c r="AN1035" s="1763"/>
      <c r="AO1035" s="1763"/>
      <c r="AP1035" s="1763"/>
      <c r="AQ1035" s="1764"/>
      <c r="AR1035" s="68"/>
      <c r="AS1035" s="68"/>
      <c r="AT1035" s="68"/>
      <c r="AU1035" s="68"/>
      <c r="AV1035" s="68"/>
      <c r="AW1035" s="68"/>
      <c r="AX1035" s="68"/>
      <c r="AY1035" s="68"/>
    </row>
    <row r="1036" spans="1:57" ht="13" customHeight="1">
      <c r="A1036" s="14"/>
      <c r="B1036" s="73"/>
      <c r="C1036" s="339" t="s">
        <v>687</v>
      </c>
      <c r="D1036" s="1745" t="s">
        <v>1688</v>
      </c>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73"/>
      <c r="AG1036" s="1748" t="s">
        <v>669</v>
      </c>
      <c r="AH1036" s="1749"/>
      <c r="AI1036" s="83"/>
      <c r="AJ1036" s="1753">
        <f>ROUND(IF(AND(AG1036="yes",AJ1032=0),(AJ992*0.1),0),0)</f>
        <v>0</v>
      </c>
      <c r="AK1036" s="1754"/>
      <c r="AL1036" s="1754"/>
      <c r="AM1036" s="1754"/>
      <c r="AN1036" s="1754"/>
      <c r="AO1036" s="1754"/>
      <c r="AP1036" s="1754"/>
      <c r="AQ1036" s="1755"/>
      <c r="AR1036" s="68"/>
      <c r="AS1036" s="68"/>
      <c r="AT1036" s="68"/>
      <c r="AU1036" s="68"/>
      <c r="AV1036" s="68"/>
      <c r="AW1036" s="68"/>
      <c r="AX1036" s="68"/>
      <c r="AY1036" s="68"/>
    </row>
    <row r="1037" spans="1:57" ht="13" customHeight="1">
      <c r="A1037" s="14"/>
      <c r="B1037" s="73"/>
      <c r="C1037" s="74"/>
      <c r="D1037" s="1796"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7"/>
      <c r="AF1037" s="73"/>
      <c r="AG1037" s="14"/>
      <c r="AH1037" s="14"/>
      <c r="AI1037" s="83"/>
      <c r="AJ1037" s="1756"/>
      <c r="AK1037" s="1757"/>
      <c r="AL1037" s="1757"/>
      <c r="AM1037" s="1757"/>
      <c r="AN1037" s="1757"/>
      <c r="AO1037" s="1757"/>
      <c r="AP1037" s="1757"/>
      <c r="AQ1037" s="1758"/>
      <c r="AR1037" s="68"/>
      <c r="AS1037" s="68"/>
      <c r="AT1037" s="68"/>
      <c r="AU1037" s="68"/>
      <c r="AV1037" s="68"/>
      <c r="AW1037" s="68"/>
      <c r="AX1037" s="68"/>
      <c r="AY1037" s="68"/>
    </row>
    <row r="1038" spans="1:57" ht="13" customHeight="1">
      <c r="A1038" s="14"/>
      <c r="B1038" s="73"/>
      <c r="C1038" s="74"/>
      <c r="D1038" s="179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7"/>
      <c r="AF1038" s="73"/>
      <c r="AG1038" s="14"/>
      <c r="AH1038" s="14"/>
      <c r="AI1038" s="83"/>
      <c r="AJ1038" s="1756"/>
      <c r="AK1038" s="1757"/>
      <c r="AL1038" s="1757"/>
      <c r="AM1038" s="1757"/>
      <c r="AN1038" s="1757"/>
      <c r="AO1038" s="1757"/>
      <c r="AP1038" s="1757"/>
      <c r="AQ1038" s="175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79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7"/>
      <c r="AF1039" s="73"/>
      <c r="AG1039" s="14"/>
      <c r="AH1039" s="14"/>
      <c r="AI1039" s="83"/>
      <c r="AJ1039" s="1756"/>
      <c r="AK1039" s="1757"/>
      <c r="AL1039" s="1757"/>
      <c r="AM1039" s="1757"/>
      <c r="AN1039" s="1757"/>
      <c r="AO1039" s="1757"/>
      <c r="AP1039" s="1757"/>
      <c r="AQ1039" s="1758"/>
      <c r="AR1039" s="68"/>
      <c r="AS1039" s="68"/>
      <c r="AT1039" s="68"/>
      <c r="AU1039" s="68"/>
      <c r="AV1039" s="68"/>
      <c r="AW1039" s="68"/>
      <c r="AX1039" s="68"/>
      <c r="AY1039" s="68"/>
      <c r="BA1039">
        <f>IFERROR((($CI$753+$CM$753)/$AG$440),0)</f>
        <v>0.20202020202020202</v>
      </c>
      <c r="BB1039" s="3" t="s">
        <v>2492</v>
      </c>
    </row>
    <row r="1040" spans="1:57" ht="13" customHeight="1">
      <c r="A1040" s="14"/>
      <c r="B1040" s="73"/>
      <c r="C1040" s="74"/>
      <c r="D1040" s="1798"/>
      <c r="E1040" s="1799"/>
      <c r="F1040" s="1799"/>
      <c r="G1040" s="1799"/>
      <c r="H1040" s="1799"/>
      <c r="I1040" s="1799"/>
      <c r="J1040" s="1799"/>
      <c r="K1040" s="1799"/>
      <c r="L1040" s="1799"/>
      <c r="M1040" s="1799"/>
      <c r="N1040" s="1799"/>
      <c r="O1040" s="1799"/>
      <c r="P1040" s="1799"/>
      <c r="Q1040" s="1799"/>
      <c r="R1040" s="1799"/>
      <c r="S1040" s="1799"/>
      <c r="T1040" s="1799"/>
      <c r="U1040" s="1799"/>
      <c r="V1040" s="1799"/>
      <c r="W1040" s="1799"/>
      <c r="X1040" s="1799"/>
      <c r="Y1040" s="1799"/>
      <c r="Z1040" s="1799"/>
      <c r="AA1040" s="1799"/>
      <c r="AB1040" s="1799"/>
      <c r="AC1040" s="1799"/>
      <c r="AD1040" s="1799"/>
      <c r="AE1040" s="1800"/>
      <c r="AF1040" s="73"/>
      <c r="AG1040" s="14"/>
      <c r="AH1040" s="14"/>
      <c r="AI1040" s="83"/>
      <c r="AJ1040" s="1756"/>
      <c r="AK1040" s="1757"/>
      <c r="AL1040" s="1757"/>
      <c r="AM1040" s="1757"/>
      <c r="AN1040" s="1757"/>
      <c r="AO1040" s="1757"/>
      <c r="AP1040" s="1757"/>
      <c r="AQ1040" s="1758"/>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59" t="s">
        <v>1297</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9"/>
      <c r="AG1041" s="1743" t="s">
        <v>669</v>
      </c>
      <c r="AH1041" s="1744"/>
      <c r="AI1041" s="87"/>
      <c r="AJ1041" s="1753">
        <f>ROUND(IF(AG1041="yes",(AJ992*0.1),0),0)</f>
        <v>0</v>
      </c>
      <c r="AK1041" s="1754"/>
      <c r="AL1041" s="1754"/>
      <c r="AM1041" s="1754"/>
      <c r="AN1041" s="1754"/>
      <c r="AO1041" s="1754"/>
      <c r="AP1041" s="1754"/>
      <c r="AQ1041" s="1755"/>
      <c r="AR1041" s="68"/>
      <c r="AS1041" s="68"/>
      <c r="AT1041" s="68"/>
      <c r="AU1041" s="68"/>
      <c r="AV1041" s="68"/>
      <c r="AW1041" s="68"/>
      <c r="AX1041" s="68"/>
      <c r="AY1041" s="68"/>
      <c r="BA1041">
        <f>Q212</f>
        <v>0</v>
      </c>
      <c r="BB1041" s="3" t="s">
        <v>2490</v>
      </c>
    </row>
    <row r="1042" spans="1:56" ht="13" customHeight="1">
      <c r="A1042" s="14"/>
      <c r="B1042" s="73"/>
      <c r="C1042" s="74"/>
      <c r="D1042" s="1737" t="s">
        <v>2144</v>
      </c>
      <c r="E1042" s="1738"/>
      <c r="F1042" s="1738"/>
      <c r="G1042" s="1738"/>
      <c r="H1042" s="1738"/>
      <c r="I1042" s="1738"/>
      <c r="J1042" s="1738"/>
      <c r="K1042" s="1738"/>
      <c r="L1042" s="1738"/>
      <c r="M1042" s="1738"/>
      <c r="N1042" s="1738"/>
      <c r="O1042" s="1738"/>
      <c r="P1042" s="1738"/>
      <c r="Q1042" s="1738"/>
      <c r="R1042" s="1738"/>
      <c r="S1042" s="1738"/>
      <c r="T1042" s="1738"/>
      <c r="U1042" s="1738"/>
      <c r="V1042" s="1738"/>
      <c r="W1042" s="1738"/>
      <c r="X1042" s="1738"/>
      <c r="Y1042" s="1738"/>
      <c r="Z1042" s="1738"/>
      <c r="AA1042" s="1738"/>
      <c r="AB1042" s="1738"/>
      <c r="AC1042" s="1738"/>
      <c r="AD1042" s="1738"/>
      <c r="AE1042" s="1739"/>
      <c r="AF1042" s="73"/>
      <c r="AG1042" s="14"/>
      <c r="AH1042" s="14"/>
      <c r="AI1042" s="83"/>
      <c r="AJ1042" s="1756"/>
      <c r="AK1042" s="1757"/>
      <c r="AL1042" s="1757"/>
      <c r="AM1042" s="1757"/>
      <c r="AN1042" s="1757"/>
      <c r="AO1042" s="1757"/>
      <c r="AP1042" s="1757"/>
      <c r="AQ1042" s="1758"/>
      <c r="AR1042" s="68"/>
      <c r="AS1042" s="68"/>
      <c r="AT1042" s="68"/>
      <c r="AU1042" s="68"/>
      <c r="AV1042" s="68"/>
      <c r="AW1042" s="68"/>
      <c r="AX1042" s="68"/>
      <c r="AY1042" s="68"/>
      <c r="BA1042" s="1184">
        <f>T212</f>
        <v>0</v>
      </c>
      <c r="BB1042" s="3" t="s">
        <v>2491</v>
      </c>
    </row>
    <row r="1043" spans="1:56" ht="13" customHeight="1">
      <c r="A1043" s="14"/>
      <c r="B1043" s="73"/>
      <c r="C1043" s="74"/>
      <c r="D1043" s="1737"/>
      <c r="E1043" s="1738"/>
      <c r="F1043" s="1738"/>
      <c r="G1043" s="1738"/>
      <c r="H1043" s="1738"/>
      <c r="I1043" s="1738"/>
      <c r="J1043" s="1738"/>
      <c r="K1043" s="1738"/>
      <c r="L1043" s="1738"/>
      <c r="M1043" s="1738"/>
      <c r="N1043" s="1738"/>
      <c r="O1043" s="1738"/>
      <c r="P1043" s="1738"/>
      <c r="Q1043" s="1738"/>
      <c r="R1043" s="1738"/>
      <c r="S1043" s="1738"/>
      <c r="T1043" s="1738"/>
      <c r="U1043" s="1738"/>
      <c r="V1043" s="1738"/>
      <c r="W1043" s="1738"/>
      <c r="X1043" s="1738"/>
      <c r="Y1043" s="1738"/>
      <c r="Z1043" s="1738"/>
      <c r="AA1043" s="1738"/>
      <c r="AB1043" s="1738"/>
      <c r="AC1043" s="1738"/>
      <c r="AD1043" s="1738"/>
      <c r="AE1043" s="1739"/>
      <c r="AF1043" s="73"/>
      <c r="AG1043" s="14"/>
      <c r="AH1043" s="14"/>
      <c r="AI1043" s="83"/>
      <c r="AJ1043" s="1756"/>
      <c r="AK1043" s="1757"/>
      <c r="AL1043" s="1757"/>
      <c r="AM1043" s="1757"/>
      <c r="AN1043" s="1757"/>
      <c r="AO1043" s="1757"/>
      <c r="AP1043" s="1757"/>
      <c r="AQ1043" s="1758"/>
      <c r="AR1043" s="68"/>
      <c r="AS1043" s="68"/>
      <c r="AT1043" s="68"/>
      <c r="AU1043" s="68"/>
      <c r="AV1043" s="68"/>
      <c r="AW1043" s="68"/>
      <c r="AX1043" s="68"/>
      <c r="AY1043" s="68"/>
    </row>
    <row r="1044" spans="1:56" ht="13" customHeight="1">
      <c r="A1044" s="14"/>
      <c r="B1044" s="73"/>
      <c r="C1044" s="74"/>
      <c r="D1044" s="1750"/>
      <c r="E1044" s="1751"/>
      <c r="F1044" s="1751"/>
      <c r="G1044" s="1751"/>
      <c r="H1044" s="1751"/>
      <c r="I1044" s="1751"/>
      <c r="J1044" s="1751"/>
      <c r="K1044" s="1751"/>
      <c r="L1044" s="1751"/>
      <c r="M1044" s="1751"/>
      <c r="N1044" s="1751"/>
      <c r="O1044" s="1751"/>
      <c r="P1044" s="1751"/>
      <c r="Q1044" s="1751"/>
      <c r="R1044" s="1751"/>
      <c r="S1044" s="1751"/>
      <c r="T1044" s="1751"/>
      <c r="U1044" s="1751"/>
      <c r="V1044" s="1751"/>
      <c r="W1044" s="1751"/>
      <c r="X1044" s="1751"/>
      <c r="Y1044" s="1751"/>
      <c r="Z1044" s="1751"/>
      <c r="AA1044" s="1751"/>
      <c r="AB1044" s="1751"/>
      <c r="AC1044" s="1751"/>
      <c r="AD1044" s="1751"/>
      <c r="AE1044" s="1752"/>
      <c r="AF1044" s="73"/>
      <c r="AG1044" s="14"/>
      <c r="AH1044" s="14"/>
      <c r="AI1044" s="83"/>
      <c r="AJ1044" s="1762"/>
      <c r="AK1044" s="1763"/>
      <c r="AL1044" s="1763"/>
      <c r="AM1044" s="1763"/>
      <c r="AN1044" s="1763"/>
      <c r="AO1044" s="1763"/>
      <c r="AP1044" s="1763"/>
      <c r="AQ1044" s="1764"/>
      <c r="AR1044" s="68"/>
      <c r="AS1044" s="68"/>
      <c r="AT1044" s="68"/>
      <c r="AU1044" s="68"/>
      <c r="AV1044" s="68"/>
      <c r="AW1044" s="68"/>
      <c r="AX1044" s="68"/>
      <c r="AY1044" s="68"/>
    </row>
    <row r="1045" spans="1:56" ht="13" customHeight="1">
      <c r="A1045" s="14"/>
      <c r="B1045" s="79"/>
      <c r="C1045" s="131" t="s">
        <v>1684</v>
      </c>
      <c r="D1045" s="1745" t="s">
        <v>1864</v>
      </c>
      <c r="E1045" s="1746"/>
      <c r="F1045" s="1746"/>
      <c r="G1045" s="1746"/>
      <c r="H1045" s="1746"/>
      <c r="I1045" s="1746"/>
      <c r="J1045" s="1746"/>
      <c r="K1045" s="1746"/>
      <c r="L1045" s="1746"/>
      <c r="M1045" s="1746"/>
      <c r="N1045" s="1746"/>
      <c r="O1045" s="1746"/>
      <c r="P1045" s="1746"/>
      <c r="Q1045" s="1746"/>
      <c r="R1045" s="1746"/>
      <c r="S1045" s="1746"/>
      <c r="T1045" s="1746"/>
      <c r="U1045" s="1746"/>
      <c r="V1045" s="1746"/>
      <c r="W1045" s="1746"/>
      <c r="X1045" s="1746"/>
      <c r="Y1045" s="1746"/>
      <c r="Z1045" s="1746"/>
      <c r="AA1045" s="1746"/>
      <c r="AB1045" s="1746"/>
      <c r="AC1045" s="1746"/>
      <c r="AD1045" s="1746"/>
      <c r="AE1045" s="1747"/>
      <c r="AF1045" s="79"/>
      <c r="AG1045" s="1785" t="str">
        <f>IF(X1048&gt;0,"Yes","No")</f>
        <v>Yes</v>
      </c>
      <c r="AH1045" s="1786"/>
      <c r="AI1045" s="87"/>
      <c r="AJ1045" s="1753">
        <f>IF((X1048=0),0,AY1005*AJ992)</f>
        <v>8698467</v>
      </c>
      <c r="AK1045" s="1754"/>
      <c r="AL1045" s="1754"/>
      <c r="AM1045" s="1754"/>
      <c r="AN1045" s="1754"/>
      <c r="AO1045" s="1754"/>
      <c r="AP1045" s="1754"/>
      <c r="AQ1045" s="175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37" t="s">
        <v>1299</v>
      </c>
      <c r="E1046" s="1738"/>
      <c r="F1046" s="1738"/>
      <c r="G1046" s="1738"/>
      <c r="H1046" s="1738"/>
      <c r="I1046" s="1738"/>
      <c r="J1046" s="1738"/>
      <c r="K1046" s="1738"/>
      <c r="L1046" s="1738"/>
      <c r="M1046" s="1738"/>
      <c r="N1046" s="1738"/>
      <c r="O1046" s="1738"/>
      <c r="P1046" s="1738"/>
      <c r="Q1046" s="1738"/>
      <c r="R1046" s="1738"/>
      <c r="S1046" s="1738"/>
      <c r="T1046" s="1738"/>
      <c r="U1046" s="1738"/>
      <c r="V1046" s="1738"/>
      <c r="W1046" s="1738"/>
      <c r="X1046" s="1738"/>
      <c r="Y1046" s="1738"/>
      <c r="Z1046" s="1738"/>
      <c r="AA1046" s="1738"/>
      <c r="AB1046" s="1738"/>
      <c r="AC1046" s="1738"/>
      <c r="AD1046" s="1738"/>
      <c r="AE1046" s="1739"/>
      <c r="AF1046" s="73"/>
      <c r="AG1046" s="443"/>
      <c r="AH1046" s="443"/>
      <c r="AI1046" s="83"/>
      <c r="AJ1046" s="1756"/>
      <c r="AK1046" s="1757"/>
      <c r="AL1046" s="1757"/>
      <c r="AM1046" s="1757"/>
      <c r="AN1046" s="1757"/>
      <c r="AO1046" s="1757"/>
      <c r="AP1046" s="1757"/>
      <c r="AQ1046" s="1758"/>
      <c r="AR1046" s="68"/>
      <c r="AS1046" s="68"/>
      <c r="AT1046" s="68"/>
      <c r="AU1046" s="13"/>
      <c r="AV1046" s="68"/>
      <c r="AW1046" s="68"/>
      <c r="AX1046" s="68"/>
      <c r="AY1046" s="68"/>
      <c r="AZ1046" s="962">
        <f>'Sources and Uses Budget'!S97*BA1046</f>
        <v>8116641.1499999994</v>
      </c>
      <c r="BA1046" s="1182">
        <f>IF(BA1040,20%,15%)</f>
        <v>0.15</v>
      </c>
      <c r="BB1046" s="3" t="s">
        <v>2478</v>
      </c>
      <c r="BC1046" s="3" t="s">
        <v>2479</v>
      </c>
      <c r="BD1046" s="3"/>
    </row>
    <row r="1047" spans="1:56" ht="13" customHeight="1">
      <c r="A1047" s="14"/>
      <c r="B1047" s="73"/>
      <c r="C1047" s="442"/>
      <c r="D1047" s="1737"/>
      <c r="E1047" s="1738"/>
      <c r="F1047" s="1738"/>
      <c r="G1047" s="1738"/>
      <c r="H1047" s="1738"/>
      <c r="I1047" s="1738"/>
      <c r="J1047" s="1738"/>
      <c r="K1047" s="1738"/>
      <c r="L1047" s="1738"/>
      <c r="M1047" s="1738"/>
      <c r="N1047" s="1738"/>
      <c r="O1047" s="1738"/>
      <c r="P1047" s="1738"/>
      <c r="Q1047" s="1738"/>
      <c r="R1047" s="1738"/>
      <c r="S1047" s="1738"/>
      <c r="T1047" s="1738"/>
      <c r="U1047" s="1738"/>
      <c r="V1047" s="1738"/>
      <c r="W1047" s="1738"/>
      <c r="X1047" s="1738"/>
      <c r="Y1047" s="1738"/>
      <c r="Z1047" s="1738"/>
      <c r="AA1047" s="1738"/>
      <c r="AB1047" s="1738"/>
      <c r="AC1047" s="1738"/>
      <c r="AD1047" s="1738"/>
      <c r="AE1047" s="1739"/>
      <c r="AF1047" s="73"/>
      <c r="AG1047" s="443"/>
      <c r="AH1047" s="443"/>
      <c r="AI1047" s="83"/>
      <c r="AJ1047" s="1756"/>
      <c r="AK1047" s="1757"/>
      <c r="AL1047" s="1757"/>
      <c r="AM1047" s="1757"/>
      <c r="AN1047" s="1757"/>
      <c r="AO1047" s="1757"/>
      <c r="AP1047" s="1757"/>
      <c r="AQ1047" s="1758"/>
      <c r="AR1047" s="68"/>
      <c r="AS1047" s="68"/>
      <c r="AT1047" s="68"/>
      <c r="AU1047" s="13"/>
      <c r="AV1047" s="68"/>
      <c r="AW1047" s="68"/>
      <c r="AX1047" s="68"/>
      <c r="AY1047" s="68"/>
      <c r="AZ1047" s="962">
        <f>IF(M356="N/A",0,'Sources and Uses Budget'!T97*BA1047)</f>
        <v>3000000</v>
      </c>
      <c r="BA1047" s="1182">
        <v>0.15</v>
      </c>
      <c r="BB1047" s="3" t="s">
        <v>2478</v>
      </c>
      <c r="BC1047" s="3" t="s">
        <v>2480</v>
      </c>
      <c r="BD1047" s="3"/>
    </row>
    <row r="1048" spans="1:56" ht="13" customHeight="1">
      <c r="A1048" s="14"/>
      <c r="B1048" s="77"/>
      <c r="C1048" s="78"/>
      <c r="D1048" s="132" t="s">
        <v>972</v>
      </c>
      <c r="E1048" s="133"/>
      <c r="F1048" s="133"/>
      <c r="G1048" s="133"/>
      <c r="H1048" s="133"/>
      <c r="I1048" s="1783">
        <f>AY1003</f>
        <v>198</v>
      </c>
      <c r="J1048" s="1784"/>
      <c r="K1048" s="7"/>
      <c r="L1048" s="133"/>
      <c r="M1048" s="133"/>
      <c r="N1048" s="133"/>
      <c r="O1048" s="133"/>
      <c r="P1048" s="133"/>
      <c r="Q1048" s="133"/>
      <c r="R1048" s="133"/>
      <c r="S1048" s="133"/>
      <c r="T1048" s="133"/>
      <c r="U1048" s="133"/>
      <c r="V1048" s="134" t="s">
        <v>973</v>
      </c>
      <c r="W1048" s="48"/>
      <c r="X1048" s="1781">
        <f>CI753</f>
        <v>20</v>
      </c>
      <c r="Y1048" s="1782"/>
      <c r="Z1048" s="48"/>
      <c r="AA1048" s="48"/>
      <c r="AB1048" s="48"/>
      <c r="AC1048" s="48"/>
      <c r="AD1048" s="48"/>
      <c r="AE1048" s="49"/>
      <c r="AF1048" s="924"/>
      <c r="AG1048" s="925"/>
      <c r="AH1048" s="925"/>
      <c r="AI1048" s="926"/>
      <c r="AJ1048" s="1762"/>
      <c r="AK1048" s="1763"/>
      <c r="AL1048" s="1763"/>
      <c r="AM1048" s="1763"/>
      <c r="AN1048" s="1763"/>
      <c r="AO1048" s="1763"/>
      <c r="AP1048" s="1763"/>
      <c r="AQ1048" s="176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759" t="s">
        <v>2170</v>
      </c>
      <c r="E1049" s="1760"/>
      <c r="F1049" s="1760"/>
      <c r="G1049" s="1760"/>
      <c r="H1049" s="1760"/>
      <c r="I1049" s="1760"/>
      <c r="J1049" s="1760"/>
      <c r="K1049" s="1760"/>
      <c r="L1049" s="1760"/>
      <c r="M1049" s="1760"/>
      <c r="N1049" s="1760"/>
      <c r="O1049" s="1760"/>
      <c r="P1049" s="1760"/>
      <c r="Q1049" s="1760"/>
      <c r="R1049" s="1760"/>
      <c r="S1049" s="1760"/>
      <c r="T1049" s="1760"/>
      <c r="U1049" s="1760"/>
      <c r="V1049" s="1760"/>
      <c r="W1049" s="1760"/>
      <c r="X1049" s="1760"/>
      <c r="Y1049" s="1760"/>
      <c r="Z1049" s="1760"/>
      <c r="AA1049" s="1760"/>
      <c r="AB1049" s="1760"/>
      <c r="AC1049" s="1760"/>
      <c r="AD1049" s="1760"/>
      <c r="AE1049" s="1761"/>
      <c r="AF1049" s="73"/>
      <c r="AG1049" s="1785" t="str">
        <f>IF(X1052&gt;0,"Yes","No")</f>
        <v>Yes</v>
      </c>
      <c r="AH1049" s="1786"/>
      <c r="AI1049" s="83"/>
      <c r="AJ1049" s="1753">
        <f>IF((X1052=0),0,(2*AY1006)*AJ992)</f>
        <v>17396934</v>
      </c>
      <c r="AK1049" s="1754"/>
      <c r="AL1049" s="1754"/>
      <c r="AM1049" s="1754"/>
      <c r="AN1049" s="1754"/>
      <c r="AO1049" s="1754"/>
      <c r="AP1049" s="1754"/>
      <c r="AQ1049" s="1755"/>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737" t="s">
        <v>1298</v>
      </c>
      <c r="E1050" s="1738"/>
      <c r="F1050" s="1738"/>
      <c r="G1050" s="1738"/>
      <c r="H1050" s="1738"/>
      <c r="I1050" s="1738"/>
      <c r="J1050" s="1738"/>
      <c r="K1050" s="1738"/>
      <c r="L1050" s="1738"/>
      <c r="M1050" s="1738"/>
      <c r="N1050" s="1738"/>
      <c r="O1050" s="1738"/>
      <c r="P1050" s="1738"/>
      <c r="Q1050" s="1738"/>
      <c r="R1050" s="1738"/>
      <c r="S1050" s="1738"/>
      <c r="T1050" s="1738"/>
      <c r="U1050" s="1738"/>
      <c r="V1050" s="1738"/>
      <c r="W1050" s="1738"/>
      <c r="X1050" s="1738"/>
      <c r="Y1050" s="1738"/>
      <c r="Z1050" s="1738"/>
      <c r="AA1050" s="1738"/>
      <c r="AB1050" s="1738"/>
      <c r="AC1050" s="1738"/>
      <c r="AD1050" s="1738"/>
      <c r="AE1050" s="1739"/>
      <c r="AF1050" s="73"/>
      <c r="AG1050" s="443"/>
      <c r="AH1050" s="443"/>
      <c r="AI1050" s="83"/>
      <c r="AJ1050" s="1756"/>
      <c r="AK1050" s="1757"/>
      <c r="AL1050" s="1757"/>
      <c r="AM1050" s="1757"/>
      <c r="AN1050" s="1757"/>
      <c r="AO1050" s="1757"/>
      <c r="AP1050" s="1757"/>
      <c r="AQ1050" s="1758"/>
      <c r="AR1050" s="68"/>
      <c r="AS1050" s="68"/>
      <c r="AT1050" s="68"/>
      <c r="AU1050" s="68"/>
      <c r="AV1050" s="68"/>
      <c r="AW1050" s="68"/>
      <c r="AX1050" s="68"/>
      <c r="AY1050" s="68"/>
      <c r="AZ1050" s="962"/>
      <c r="BA1050" s="3"/>
      <c r="BB1050" s="3"/>
      <c r="BC1050" s="3"/>
      <c r="BD1050" s="3"/>
    </row>
    <row r="1051" spans="1:56" ht="13" customHeight="1">
      <c r="A1051" s="14"/>
      <c r="B1051" s="73"/>
      <c r="C1051" s="83"/>
      <c r="D1051" s="1737"/>
      <c r="E1051" s="1738"/>
      <c r="F1051" s="1738"/>
      <c r="G1051" s="1738"/>
      <c r="H1051" s="1738"/>
      <c r="I1051" s="1738"/>
      <c r="J1051" s="1738"/>
      <c r="K1051" s="1738"/>
      <c r="L1051" s="1738"/>
      <c r="M1051" s="1738"/>
      <c r="N1051" s="1738"/>
      <c r="O1051" s="1738"/>
      <c r="P1051" s="1738"/>
      <c r="Q1051" s="1738"/>
      <c r="R1051" s="1738"/>
      <c r="S1051" s="1738"/>
      <c r="T1051" s="1738"/>
      <c r="U1051" s="1738"/>
      <c r="V1051" s="1738"/>
      <c r="W1051" s="1738"/>
      <c r="X1051" s="1738"/>
      <c r="Y1051" s="1738"/>
      <c r="Z1051" s="1738"/>
      <c r="AA1051" s="1738"/>
      <c r="AB1051" s="1738"/>
      <c r="AC1051" s="1738"/>
      <c r="AD1051" s="1738"/>
      <c r="AE1051" s="1739"/>
      <c r="AF1051" s="921"/>
      <c r="AG1051" s="922"/>
      <c r="AH1051" s="922"/>
      <c r="AI1051" s="923"/>
      <c r="AJ1051" s="1756"/>
      <c r="AK1051" s="1757"/>
      <c r="AL1051" s="1757"/>
      <c r="AM1051" s="1757"/>
      <c r="AN1051" s="1757"/>
      <c r="AO1051" s="1757"/>
      <c r="AP1051" s="1757"/>
      <c r="AQ1051" s="175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3">
        <f>AY1003</f>
        <v>198</v>
      </c>
      <c r="J1052" s="1784"/>
      <c r="K1052" s="14"/>
      <c r="L1052" s="133"/>
      <c r="M1052" s="133"/>
      <c r="N1052" s="133"/>
      <c r="O1052" s="133"/>
      <c r="P1052" s="133"/>
      <c r="Q1052" s="133"/>
      <c r="R1052" s="133"/>
      <c r="S1052" s="133"/>
      <c r="T1052" s="133"/>
      <c r="U1052" s="133"/>
      <c r="V1052" s="134" t="s">
        <v>974</v>
      </c>
      <c r="X1052" s="1781">
        <f>CM753</f>
        <v>20</v>
      </c>
      <c r="Y1052" s="1782"/>
      <c r="AF1052" s="924"/>
      <c r="AG1052" s="925"/>
      <c r="AH1052" s="925"/>
      <c r="AI1052" s="926"/>
      <c r="AJ1052" s="1762"/>
      <c r="AK1052" s="1763"/>
      <c r="AL1052" s="1763"/>
      <c r="AM1052" s="1763"/>
      <c r="AN1052" s="1763"/>
      <c r="AO1052" s="1763"/>
      <c r="AP1052" s="1763"/>
      <c r="AQ1052" s="1764"/>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779" t="s">
        <v>513</v>
      </c>
      <c r="E1053" s="1779"/>
      <c r="F1053" s="1779"/>
      <c r="G1053" s="1779"/>
      <c r="H1053" s="1779"/>
      <c r="I1053" s="1779"/>
      <c r="J1053" s="1779"/>
      <c r="K1053" s="1779"/>
      <c r="L1053" s="1779"/>
      <c r="M1053" s="1779"/>
      <c r="N1053" s="1779"/>
      <c r="O1053" s="1779"/>
      <c r="P1053" s="1779"/>
      <c r="Q1053" s="1779"/>
      <c r="R1053" s="1779"/>
      <c r="S1053" s="1779"/>
      <c r="T1053" s="1779"/>
      <c r="U1053" s="1779"/>
      <c r="V1053" s="1779"/>
      <c r="W1053" s="1779"/>
      <c r="X1053" s="1779"/>
      <c r="Y1053" s="1779"/>
      <c r="Z1053" s="1779"/>
      <c r="AA1053" s="1779"/>
      <c r="AB1053" s="1779"/>
      <c r="AC1053" s="1779"/>
      <c r="AD1053" s="1779"/>
      <c r="AE1053" s="1779"/>
      <c r="AF1053" s="1779"/>
      <c r="AG1053" s="1779"/>
      <c r="AH1053" s="1779"/>
      <c r="AI1053" s="1780"/>
      <c r="AJ1053" s="1793">
        <f>SUM(AJ992:AQ1052)</f>
        <v>121778538</v>
      </c>
      <c r="AK1053" s="1794"/>
      <c r="AL1053" s="1794"/>
      <c r="AM1053" s="1794"/>
      <c r="AN1053" s="1794"/>
      <c r="AO1053" s="1794"/>
      <c r="AP1053" s="1794"/>
      <c r="AQ1053" s="1795"/>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60">
        <f>'Sources and Uses Budget'!S107+'Sources and Uses Budget'!T107</f>
        <v>85227582</v>
      </c>
      <c r="AB1056" s="1360"/>
      <c r="AC1056" s="1360"/>
      <c r="AD1056" s="1360"/>
      <c r="AE1056" s="1360"/>
      <c r="AF1056" s="136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11116641.149999999</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69">
        <f>IFERROR((AA1056-BA1059)/(AJ1053-AJ1045-AJ1049),"")</f>
        <v>0.80067338302254865</v>
      </c>
      <c r="AB1057" s="1370"/>
      <c r="AC1057" s="1370"/>
      <c r="AD1057" s="1370"/>
      <c r="AE1057" s="1370"/>
      <c r="AF1057" s="137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5">
        <f>'Sources and Uses Budget'!$S$104+'Sources and Uses Budget'!$T$104</f>
        <v>11116641</v>
      </c>
      <c r="BB1058" s="3" t="s">
        <v>2493</v>
      </c>
    </row>
    <row r="1059" spans="1:54" ht="13" customHeight="1">
      <c r="A1059" s="14"/>
      <c r="B1059" s="14"/>
      <c r="C1059" s="208"/>
      <c r="D1059" s="858"/>
      <c r="E1059" s="858"/>
      <c r="F1059" s="858"/>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6">
        <f>MAX($BA$1058-$BA$1055,0)</f>
        <v>8616641</v>
      </c>
      <c r="BB1059" s="3" t="s">
        <v>2494</v>
      </c>
    </row>
    <row r="1060" spans="1:54" ht="13" customHeight="1">
      <c r="A1060" s="88"/>
      <c r="B1060" s="1172"/>
      <c r="C1060" s="1172"/>
      <c r="D1060" s="1172"/>
      <c r="E1060" s="1172"/>
      <c r="F1060" s="1172"/>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2"/>
      <c r="AP1060" s="1172"/>
      <c r="AQ1060" s="68"/>
      <c r="AR1060" s="68"/>
      <c r="AS1060" s="68"/>
      <c r="AT1060" s="68"/>
      <c r="AU1060" s="68"/>
      <c r="AV1060" s="68"/>
      <c r="AW1060" s="68"/>
      <c r="AX1060" s="68"/>
      <c r="AY1060" s="68"/>
    </row>
    <row r="1061" spans="1:54" ht="13"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76" t="s">
        <v>591</v>
      </c>
      <c r="B1065" s="1476"/>
      <c r="C1065" s="1862">
        <v>1</v>
      </c>
      <c r="D1065" s="1862"/>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2"/>
      <c r="D1066" s="186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76" t="s">
        <v>591</v>
      </c>
      <c r="B1067" s="1476"/>
      <c r="C1067" s="1862">
        <v>2</v>
      </c>
      <c r="D1067" s="1862"/>
      <c r="E1067" s="1864" t="s">
        <v>2237</v>
      </c>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1864"/>
      <c r="AP1067" s="1864"/>
      <c r="AQ1067" s="1864"/>
      <c r="AR1067" s="1864"/>
      <c r="AS1067" s="14"/>
      <c r="AT1067" s="14"/>
      <c r="AV1067" s="68"/>
      <c r="AW1067" s="68"/>
      <c r="AX1067" s="68"/>
      <c r="AY1067" s="68"/>
    </row>
    <row r="1068" spans="1:54" ht="13" customHeight="1">
      <c r="A1068" s="198"/>
      <c r="B1068" s="67"/>
      <c r="C1068" s="1862"/>
      <c r="D1068" s="1862"/>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1864"/>
      <c r="AP1068" s="1864"/>
      <c r="AQ1068" s="1864"/>
      <c r="AR1068" s="1864"/>
      <c r="AS1068" s="14"/>
      <c r="AT1068" s="14"/>
      <c r="AV1068" s="68"/>
      <c r="AW1068" s="68"/>
      <c r="AX1068" s="68"/>
      <c r="AY1068" s="68"/>
    </row>
    <row r="1069" spans="1:54" ht="13" customHeight="1">
      <c r="A1069" s="198"/>
      <c r="B1069" s="67"/>
      <c r="C1069" s="1862"/>
      <c r="D1069" s="186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76" t="s">
        <v>591</v>
      </c>
      <c r="B1070" s="1476"/>
      <c r="C1070" s="1425">
        <v>3</v>
      </c>
      <c r="D1070" s="142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25"/>
      <c r="D1071" s="142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25"/>
      <c r="D1072" s="142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25"/>
      <c r="D1073" s="142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25"/>
      <c r="D1074" s="142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76" t="s">
        <v>591</v>
      </c>
      <c r="B1075" s="1476"/>
      <c r="C1075" s="1425">
        <v>4</v>
      </c>
      <c r="D1075" s="142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25"/>
      <c r="D1076" s="142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25"/>
      <c r="D1077" s="142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25"/>
      <c r="D1078" s="142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25"/>
      <c r="D1079" s="142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25"/>
      <c r="D1080" s="142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76" t="s">
        <v>591</v>
      </c>
      <c r="B1081" s="1476"/>
      <c r="C1081" s="1425">
        <v>5</v>
      </c>
      <c r="D1081" s="142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25"/>
      <c r="D1082" s="142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25"/>
      <c r="D1083" s="142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25"/>
      <c r="D1084" s="142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76" t="s">
        <v>591</v>
      </c>
      <c r="B1085" s="1476"/>
      <c r="C1085" s="1425">
        <v>6</v>
      </c>
      <c r="D1085" s="142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25"/>
      <c r="D1087" s="142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25"/>
      <c r="D1088" s="142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76" t="s">
        <v>591</v>
      </c>
      <c r="B1089" s="1476"/>
      <c r="C1089" s="1425">
        <v>7</v>
      </c>
      <c r="D1089" s="142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25"/>
      <c r="D1090" s="142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25"/>
      <c r="D1091" s="142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25"/>
      <c r="D1092" s="142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25"/>
      <c r="D1093" s="142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76" t="s">
        <v>591</v>
      </c>
      <c r="B1094" s="1476"/>
      <c r="C1094" s="1425">
        <v>8</v>
      </c>
      <c r="D1094" s="142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25"/>
      <c r="D1095" s="142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25"/>
      <c r="D1096" s="142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76" t="s">
        <v>591</v>
      </c>
      <c r="B1097" s="1476"/>
      <c r="C1097" s="1862">
        <v>9</v>
      </c>
      <c r="D1097" s="1862"/>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62"/>
      <c r="D1098" s="186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62"/>
      <c r="D1099" s="186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76" t="s">
        <v>591</v>
      </c>
      <c r="B1100" s="1476"/>
      <c r="C1100" s="1862">
        <v>10</v>
      </c>
      <c r="D1100" s="1862"/>
      <c r="E1100" s="1863" t="s">
        <v>2238</v>
      </c>
      <c r="F1100" s="1863"/>
      <c r="G1100" s="1863"/>
      <c r="H1100" s="1863"/>
      <c r="I1100" s="1863"/>
      <c r="J1100" s="1863"/>
      <c r="K1100" s="1863"/>
      <c r="L1100" s="1863"/>
      <c r="M1100" s="1863"/>
      <c r="N1100" s="1863"/>
      <c r="O1100" s="1863"/>
      <c r="P1100" s="1863"/>
      <c r="Q1100" s="1863"/>
      <c r="R1100" s="1863"/>
      <c r="S1100" s="1863"/>
      <c r="T1100" s="1863"/>
      <c r="U1100" s="1863"/>
      <c r="V1100" s="1863"/>
      <c r="W1100" s="1863"/>
      <c r="X1100" s="1863"/>
      <c r="Y1100" s="1863"/>
      <c r="Z1100" s="1863"/>
      <c r="AA1100" s="1863"/>
      <c r="AB1100" s="1863"/>
      <c r="AC1100" s="1863"/>
      <c r="AD1100" s="1863"/>
      <c r="AE1100" s="1863"/>
      <c r="AF1100" s="1863"/>
      <c r="AG1100" s="1863"/>
      <c r="AH1100" s="1863"/>
      <c r="AI1100" s="1863"/>
      <c r="AJ1100" s="1863"/>
      <c r="AK1100" s="1863"/>
      <c r="AL1100" s="1863"/>
      <c r="AM1100" s="1863"/>
      <c r="AN1100" s="1863"/>
      <c r="AO1100" s="1863"/>
      <c r="AP1100" s="1863"/>
      <c r="AQ1100" s="1863"/>
      <c r="AR1100" s="1863"/>
    </row>
    <row r="1101" spans="1:45" ht="13" customHeight="1">
      <c r="A1101" s="1"/>
      <c r="B1101" s="1"/>
      <c r="C1101" s="199"/>
      <c r="D1101" s="1161"/>
      <c r="E1101" s="1863"/>
      <c r="F1101" s="1863"/>
      <c r="G1101" s="1863"/>
      <c r="H1101" s="1863"/>
      <c r="I1101" s="1863"/>
      <c r="J1101" s="1863"/>
      <c r="K1101" s="1863"/>
      <c r="L1101" s="1863"/>
      <c r="M1101" s="1863"/>
      <c r="N1101" s="1863"/>
      <c r="O1101" s="1863"/>
      <c r="P1101" s="1863"/>
      <c r="Q1101" s="1863"/>
      <c r="R1101" s="1863"/>
      <c r="S1101" s="1863"/>
      <c r="T1101" s="1863"/>
      <c r="U1101" s="1863"/>
      <c r="V1101" s="1863"/>
      <c r="W1101" s="1863"/>
      <c r="X1101" s="1863"/>
      <c r="Y1101" s="1863"/>
      <c r="Z1101" s="1863"/>
      <c r="AA1101" s="1863"/>
      <c r="AB1101" s="1863"/>
      <c r="AC1101" s="1863"/>
      <c r="AD1101" s="1863"/>
      <c r="AE1101" s="1863"/>
      <c r="AF1101" s="1863"/>
      <c r="AG1101" s="1863"/>
      <c r="AH1101" s="1863"/>
      <c r="AI1101" s="1863"/>
      <c r="AJ1101" s="1863"/>
      <c r="AK1101" s="1863"/>
      <c r="AL1101" s="1863"/>
      <c r="AM1101" s="1863"/>
      <c r="AN1101" s="1863"/>
      <c r="AO1101" s="1863"/>
      <c r="AP1101" s="1863"/>
      <c r="AQ1101" s="1863"/>
      <c r="AR1101" s="1863"/>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76" t="s">
        <v>591</v>
      </c>
      <c r="B1103" s="1476"/>
      <c r="C1103" s="1862">
        <v>11</v>
      </c>
      <c r="D1103" s="1862"/>
      <c r="E1103" s="1863" t="s">
        <v>2240</v>
      </c>
      <c r="F1103" s="1863"/>
      <c r="G1103" s="1863"/>
      <c r="H1103" s="1863"/>
      <c r="I1103" s="1863"/>
      <c r="J1103" s="1863"/>
      <c r="K1103" s="1863"/>
      <c r="L1103" s="1863"/>
      <c r="M1103" s="1863"/>
      <c r="N1103" s="1863"/>
      <c r="O1103" s="1863"/>
      <c r="P1103" s="1863"/>
      <c r="Q1103" s="1863"/>
      <c r="R1103" s="1863"/>
      <c r="S1103" s="1863"/>
      <c r="T1103" s="1863"/>
      <c r="U1103" s="1863"/>
      <c r="V1103" s="1863"/>
      <c r="W1103" s="1863"/>
      <c r="X1103" s="1863"/>
      <c r="Y1103" s="1863"/>
      <c r="Z1103" s="1863"/>
      <c r="AA1103" s="1863"/>
      <c r="AB1103" s="1863"/>
      <c r="AC1103" s="1863"/>
      <c r="AD1103" s="1863"/>
      <c r="AE1103" s="1863"/>
      <c r="AF1103" s="1863"/>
      <c r="AG1103" s="1863"/>
      <c r="AH1103" s="1863"/>
      <c r="AI1103" s="1863"/>
      <c r="AJ1103" s="1863"/>
      <c r="AK1103" s="1863"/>
      <c r="AL1103" s="1863"/>
      <c r="AM1103" s="1863"/>
      <c r="AN1103" s="1863"/>
      <c r="AO1103" s="1863"/>
      <c r="AP1103" s="1863"/>
      <c r="AQ1103" s="1863"/>
      <c r="AR1103" s="1863"/>
    </row>
    <row r="1104" spans="1:45" ht="13" customHeight="1">
      <c r="A1104" s="1"/>
      <c r="B1104" s="1"/>
      <c r="C1104" s="199"/>
      <c r="D1104" s="1161"/>
      <c r="E1104" s="1863"/>
      <c r="F1104" s="1863"/>
      <c r="G1104" s="1863"/>
      <c r="H1104" s="1863"/>
      <c r="I1104" s="1863"/>
      <c r="J1104" s="1863"/>
      <c r="K1104" s="1863"/>
      <c r="L1104" s="1863"/>
      <c r="M1104" s="1863"/>
      <c r="N1104" s="1863"/>
      <c r="O1104" s="1863"/>
      <c r="P1104" s="1863"/>
      <c r="Q1104" s="1863"/>
      <c r="R1104" s="1863"/>
      <c r="S1104" s="1863"/>
      <c r="T1104" s="1863"/>
      <c r="U1104" s="1863"/>
      <c r="V1104" s="1863"/>
      <c r="W1104" s="1863"/>
      <c r="X1104" s="1863"/>
      <c r="Y1104" s="1863"/>
      <c r="Z1104" s="1863"/>
      <c r="AA1104" s="1863"/>
      <c r="AB1104" s="1863"/>
      <c r="AC1104" s="1863"/>
      <c r="AD1104" s="1863"/>
      <c r="AE1104" s="1863"/>
      <c r="AF1104" s="1863"/>
      <c r="AG1104" s="1863"/>
      <c r="AH1104" s="1863"/>
      <c r="AI1104" s="1863"/>
      <c r="AJ1104" s="1863"/>
      <c r="AK1104" s="1863"/>
      <c r="AL1104" s="1863"/>
      <c r="AM1104" s="1863"/>
      <c r="AN1104" s="1863"/>
      <c r="AO1104" s="1863"/>
      <c r="AP1104" s="1863"/>
      <c r="AQ1104" s="1863"/>
      <c r="AR1104" s="1863"/>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76" t="s">
        <v>591</v>
      </c>
      <c r="B1125" s="1476"/>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8:D1088"/>
    <mergeCell ref="C1090:D1090"/>
    <mergeCell ref="C1091:D1091"/>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1:D1081"/>
    <mergeCell ref="C1082:D1082"/>
    <mergeCell ref="C1083:D1083"/>
    <mergeCell ref="C1084:D1084"/>
    <mergeCell ref="C1085:D1085"/>
    <mergeCell ref="C1087:D1087"/>
    <mergeCell ref="B728:F728"/>
    <mergeCell ref="B725:F725"/>
    <mergeCell ref="B724:F724"/>
    <mergeCell ref="B727:F727"/>
    <mergeCell ref="Z654:AK654"/>
    <mergeCell ref="N673:O673"/>
    <mergeCell ref="Z677:AK677"/>
    <mergeCell ref="AG665:AH665"/>
    <mergeCell ref="AK737:AO737"/>
    <mergeCell ref="G669:R669"/>
    <mergeCell ref="O731:S731"/>
    <mergeCell ref="T736:W736"/>
    <mergeCell ref="O733:S733"/>
    <mergeCell ref="AK730:AO730"/>
    <mergeCell ref="AC724:AG724"/>
    <mergeCell ref="C1089:D1089"/>
    <mergeCell ref="A1061:AQ1061"/>
    <mergeCell ref="AF1017:AI1019"/>
    <mergeCell ref="AF1014:AI1015"/>
    <mergeCell ref="C757:AM758"/>
    <mergeCell ref="G742:J742"/>
    <mergeCell ref="G743:J743"/>
    <mergeCell ref="D985:Q985"/>
    <mergeCell ref="D986:Q986"/>
    <mergeCell ref="AB985:AI985"/>
    <mergeCell ref="AB986:AI986"/>
    <mergeCell ref="AB987:AI987"/>
    <mergeCell ref="D987:Q987"/>
    <mergeCell ref="R989:AA989"/>
    <mergeCell ref="AJ989:AQ989"/>
    <mergeCell ref="AB957:AK957"/>
    <mergeCell ref="A1065:B1065"/>
    <mergeCell ref="AA970:AG970"/>
    <mergeCell ref="AF1023:AI1024"/>
    <mergeCell ref="M970:S970"/>
    <mergeCell ref="AA971:AG971"/>
    <mergeCell ref="T972:Z972"/>
    <mergeCell ref="D1007:AE1007"/>
    <mergeCell ref="R990:AA990"/>
    <mergeCell ref="J957:S957"/>
    <mergeCell ref="W974:AG974"/>
    <mergeCell ref="M973:S973"/>
    <mergeCell ref="M972:S972"/>
    <mergeCell ref="AB988:AI988"/>
    <mergeCell ref="R986:AA986"/>
    <mergeCell ref="M959:S959"/>
    <mergeCell ref="B993:AE993"/>
    <mergeCell ref="D990:Q990"/>
    <mergeCell ref="AB989:AI989"/>
    <mergeCell ref="AB990:AI99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O630:AS630"/>
    <mergeCell ref="W629:Y629"/>
    <mergeCell ref="M630:P630"/>
    <mergeCell ref="M631:P631"/>
    <mergeCell ref="M632:P632"/>
    <mergeCell ref="Q633:S633"/>
    <mergeCell ref="AC634:AE634"/>
    <mergeCell ref="Q631:S631"/>
    <mergeCell ref="T632:V632"/>
    <mergeCell ref="T633:V633"/>
    <mergeCell ref="DE774:DI774"/>
    <mergeCell ref="AA573:AK573"/>
    <mergeCell ref="CI753:CJ753"/>
    <mergeCell ref="CM753:CN753"/>
    <mergeCell ref="CP753:CT753"/>
    <mergeCell ref="CK751:CL751"/>
    <mergeCell ref="AC730:AG730"/>
    <mergeCell ref="AE693:AF693"/>
    <mergeCell ref="X725:AB725"/>
    <mergeCell ref="K743:N743"/>
    <mergeCell ref="O743:S743"/>
    <mergeCell ref="T743:W743"/>
    <mergeCell ref="K744:N744"/>
    <mergeCell ref="O744:S744"/>
    <mergeCell ref="K746:N746"/>
    <mergeCell ref="T751:W751"/>
    <mergeCell ref="K748:N748"/>
    <mergeCell ref="K745:N745"/>
    <mergeCell ref="G647:L647"/>
    <mergeCell ref="C638:L638"/>
    <mergeCell ref="AK731:AO731"/>
    <mergeCell ref="AK738:AO738"/>
    <mergeCell ref="Z686:AK686"/>
    <mergeCell ref="G730:J730"/>
    <mergeCell ref="X730:AB730"/>
    <mergeCell ref="X731:AB731"/>
    <mergeCell ref="AH732:AJ732"/>
    <mergeCell ref="Z675:AK675"/>
    <mergeCell ref="T737:W737"/>
    <mergeCell ref="K749:N749"/>
    <mergeCell ref="O749:S749"/>
    <mergeCell ref="X751:AB751"/>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M662:EQ662"/>
    <mergeCell ref="DO732:DS732"/>
    <mergeCell ref="B714:F717"/>
    <mergeCell ref="G729:J72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Z738:ED738"/>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DX666:EB666"/>
    <mergeCell ref="EC666:EG666"/>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U729:DY729"/>
    <mergeCell ref="DZ718:ED718"/>
    <mergeCell ref="EE718:EI718"/>
    <mergeCell ref="DO725:DS725"/>
    <mergeCell ref="DO721:DS721"/>
    <mergeCell ref="CP721:CT721"/>
    <mergeCell ref="DO726:DS726"/>
    <mergeCell ref="CU727:CY727"/>
    <mergeCell ref="CK724:CL724"/>
    <mergeCell ref="DE726:DI726"/>
    <mergeCell ref="CZ724:DD724"/>
    <mergeCell ref="DE722:DI722"/>
    <mergeCell ref="CZ725:DD72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B641:AN641"/>
    <mergeCell ref="G643:R643"/>
    <mergeCell ref="DO720:DS720"/>
    <mergeCell ref="AH729:AJ729"/>
    <mergeCell ref="DU718:DY718"/>
    <mergeCell ref="DU721:DY72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P775:CT77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ER650:EV650"/>
    <mergeCell ref="EM650:EQ650"/>
    <mergeCell ref="DX653:EB653"/>
    <mergeCell ref="EC653:EG653"/>
    <mergeCell ref="DX654:EB654"/>
    <mergeCell ref="DZ737:ED737"/>
    <mergeCell ref="EM670:EQ670"/>
    <mergeCell ref="EJ718:EN718"/>
    <mergeCell ref="DJ718:DN718"/>
    <mergeCell ref="EW660:FA660"/>
    <mergeCell ref="DX661:EB661"/>
    <mergeCell ref="EE738:EI738"/>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O719:ES719"/>
    <mergeCell ref="ET719:EX719"/>
    <mergeCell ref="EJ722:EN722"/>
    <mergeCell ref="DZ717:ED717"/>
    <mergeCell ref="ER662:EV662"/>
    <mergeCell ref="DU727:DY727"/>
    <mergeCell ref="EE726:EI726"/>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F975:L975"/>
    <mergeCell ref="M975:S97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AJ1045:AQ1048"/>
    <mergeCell ref="AJ1049:AQ1052"/>
    <mergeCell ref="AJ1053:AQ1053"/>
    <mergeCell ref="AG1029:AH1029"/>
    <mergeCell ref="D1037:AE1040"/>
    <mergeCell ref="B991:AA991"/>
    <mergeCell ref="D994:AE994"/>
    <mergeCell ref="D1000:AE1000"/>
    <mergeCell ref="D1045:AE1045"/>
    <mergeCell ref="D1014:AE1015"/>
    <mergeCell ref="AG1045:AH1045"/>
    <mergeCell ref="D1017:AE1019"/>
    <mergeCell ref="AG1032:AH1032"/>
    <mergeCell ref="D1036:AE1036"/>
    <mergeCell ref="AG1041:AH1041"/>
    <mergeCell ref="AG1036:AH1036"/>
    <mergeCell ref="D1026:AE1028"/>
    <mergeCell ref="AJ1036:AQ1040"/>
    <mergeCell ref="D1041:AE1041"/>
    <mergeCell ref="D1042:AE1044"/>
    <mergeCell ref="D1046:AE1047"/>
    <mergeCell ref="AJ1041:AQ1044"/>
    <mergeCell ref="D1030:AE1031"/>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AJ1029:AQ1031"/>
    <mergeCell ref="D1029:AE1029"/>
    <mergeCell ref="F944:T944"/>
    <mergeCell ref="U944:Z944"/>
    <mergeCell ref="AA944:AF944"/>
    <mergeCell ref="U946:Z946"/>
    <mergeCell ref="U920:Z920"/>
    <mergeCell ref="M968:S968"/>
    <mergeCell ref="U943:Z943"/>
    <mergeCell ref="U941:Z941"/>
    <mergeCell ref="AA943:AF943"/>
    <mergeCell ref="R987:AA987"/>
    <mergeCell ref="D1022:AE1023"/>
    <mergeCell ref="D988:Q988"/>
    <mergeCell ref="D989:Q989"/>
    <mergeCell ref="R988:AA988"/>
    <mergeCell ref="O974:P974"/>
    <mergeCell ref="AJ990:AQ990"/>
    <mergeCell ref="AE959:AK959"/>
    <mergeCell ref="AI671:AK671"/>
    <mergeCell ref="P655:R655"/>
    <mergeCell ref="J704:X704"/>
    <mergeCell ref="T714:W717"/>
    <mergeCell ref="H664:R664"/>
    <mergeCell ref="K731:N731"/>
    <mergeCell ref="X735:AB735"/>
    <mergeCell ref="X736:AB736"/>
    <mergeCell ref="T735:W735"/>
    <mergeCell ref="T734:W734"/>
    <mergeCell ref="AC727:AG727"/>
    <mergeCell ref="B739:F739"/>
    <mergeCell ref="B751:F751"/>
    <mergeCell ref="O746:S746"/>
    <mergeCell ref="T746:W746"/>
    <mergeCell ref="K747:N747"/>
    <mergeCell ref="AH750:AJ750"/>
    <mergeCell ref="AC749:AG749"/>
    <mergeCell ref="C766:AR768"/>
    <mergeCell ref="K740:N740"/>
    <mergeCell ref="AC738:AG738"/>
    <mergeCell ref="T635:V635"/>
    <mergeCell ref="T638:V638"/>
    <mergeCell ref="AH724:AJ724"/>
    <mergeCell ref="G724:J724"/>
    <mergeCell ref="Z668:AK668"/>
    <mergeCell ref="H672:R672"/>
    <mergeCell ref="A709:AT711"/>
    <mergeCell ref="G660:R660"/>
    <mergeCell ref="T634:V634"/>
    <mergeCell ref="AF634:AJ634"/>
    <mergeCell ref="G671:L671"/>
    <mergeCell ref="G667:R667"/>
    <mergeCell ref="AH727:AJ727"/>
    <mergeCell ref="B726:F726"/>
    <mergeCell ref="G655:L655"/>
    <mergeCell ref="H656:R656"/>
    <mergeCell ref="AG649:AH649"/>
    <mergeCell ref="H688:R688"/>
    <mergeCell ref="X721:AB721"/>
    <mergeCell ref="X727:AB727"/>
    <mergeCell ref="G723:J723"/>
    <mergeCell ref="G677:R677"/>
    <mergeCell ref="P663:R663"/>
    <mergeCell ref="B720:F720"/>
    <mergeCell ref="B722:F722"/>
    <mergeCell ref="G654:R654"/>
    <mergeCell ref="G653:R653"/>
    <mergeCell ref="G670:R670"/>
    <mergeCell ref="Z669:AK669"/>
    <mergeCell ref="P671:R671"/>
    <mergeCell ref="G659:R659"/>
    <mergeCell ref="G675:R675"/>
    <mergeCell ref="G748:J748"/>
    <mergeCell ref="G749:J749"/>
    <mergeCell ref="K752:N752"/>
    <mergeCell ref="AC742:AG742"/>
    <mergeCell ref="AC743:AG743"/>
    <mergeCell ref="AC744:AG744"/>
    <mergeCell ref="AC745:AG745"/>
    <mergeCell ref="AC746:AG746"/>
    <mergeCell ref="AH751:AJ751"/>
    <mergeCell ref="AC747:AG747"/>
    <mergeCell ref="K734:N734"/>
    <mergeCell ref="T724:W724"/>
    <mergeCell ref="K729:N729"/>
    <mergeCell ref="O736:S736"/>
    <mergeCell ref="T733:W733"/>
    <mergeCell ref="O734:S734"/>
    <mergeCell ref="AC734:AG734"/>
    <mergeCell ref="AC735:AG735"/>
    <mergeCell ref="G734:J734"/>
    <mergeCell ref="AC731:AG731"/>
    <mergeCell ref="O732:S732"/>
    <mergeCell ref="G737:J737"/>
    <mergeCell ref="G735:J735"/>
    <mergeCell ref="AC733:AG733"/>
    <mergeCell ref="AH733:AJ733"/>
    <mergeCell ref="O737:S737"/>
    <mergeCell ref="O738:S738"/>
    <mergeCell ref="G752:J752"/>
    <mergeCell ref="K730:N730"/>
    <mergeCell ref="AH728:AJ728"/>
    <mergeCell ref="G728:J728"/>
    <mergeCell ref="K751:N751"/>
    <mergeCell ref="B746:F746"/>
    <mergeCell ref="B747:F747"/>
    <mergeCell ref="B748:F748"/>
    <mergeCell ref="B749:F749"/>
    <mergeCell ref="B750:F750"/>
    <mergeCell ref="T750:W750"/>
    <mergeCell ref="G740:J740"/>
    <mergeCell ref="O793:S793"/>
    <mergeCell ref="J790:N790"/>
    <mergeCell ref="AC789:AG789"/>
    <mergeCell ref="AC790:AG790"/>
    <mergeCell ref="AG756:AJ756"/>
    <mergeCell ref="AC750:AG750"/>
    <mergeCell ref="AC751:AG751"/>
    <mergeCell ref="O745:S745"/>
    <mergeCell ref="B753:F753"/>
    <mergeCell ref="O752:S752"/>
    <mergeCell ref="O774:S774"/>
    <mergeCell ref="B752:F752"/>
    <mergeCell ref="O750:S750"/>
    <mergeCell ref="O747:S747"/>
    <mergeCell ref="T747:W747"/>
    <mergeCell ref="AC748:AG748"/>
    <mergeCell ref="G753:J753"/>
    <mergeCell ref="AH753:AJ753"/>
    <mergeCell ref="AH741:AJ741"/>
    <mergeCell ref="O741:S741"/>
    <mergeCell ref="T740:W740"/>
    <mergeCell ref="G741:J741"/>
    <mergeCell ref="B740:F740"/>
    <mergeCell ref="G744:J744"/>
    <mergeCell ref="G745:J745"/>
    <mergeCell ref="D1125:AK1127"/>
    <mergeCell ref="X726:AB726"/>
    <mergeCell ref="AH723:AJ723"/>
    <mergeCell ref="A1097:B1097"/>
    <mergeCell ref="AE960:AK960"/>
    <mergeCell ref="AE961:AK961"/>
    <mergeCell ref="AA948:AF948"/>
    <mergeCell ref="T730:W730"/>
    <mergeCell ref="M967:S967"/>
    <mergeCell ref="O792:S792"/>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A1125:B1125"/>
    <mergeCell ref="G725:J725"/>
    <mergeCell ref="B732:F732"/>
    <mergeCell ref="T745:W745"/>
    <mergeCell ref="AH730:AJ730"/>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49:Z949"/>
    <mergeCell ref="AA939:AF939"/>
    <mergeCell ref="AA940:AF940"/>
    <mergeCell ref="W853:AC853"/>
    <mergeCell ref="AA967:AG967"/>
    <mergeCell ref="F927:T927"/>
    <mergeCell ref="F928:T928"/>
    <mergeCell ref="U926:Z926"/>
    <mergeCell ref="AA926:AF926"/>
    <mergeCell ref="U927:Z927"/>
    <mergeCell ref="AA927:AF927"/>
    <mergeCell ref="F929:T929"/>
    <mergeCell ref="AC887:AH887"/>
    <mergeCell ref="AE956:AK956"/>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U922:Z922"/>
    <mergeCell ref="AA924:AF924"/>
    <mergeCell ref="M969:S969"/>
    <mergeCell ref="AA935:AF935"/>
    <mergeCell ref="AA918:AF918"/>
    <mergeCell ref="AA969:AG969"/>
    <mergeCell ref="AA949:AF949"/>
    <mergeCell ref="M960:S960"/>
    <mergeCell ref="F932:T932"/>
    <mergeCell ref="U915:Z917"/>
    <mergeCell ref="U950:Z950"/>
    <mergeCell ref="U929:Z929"/>
    <mergeCell ref="AE962:AK962"/>
    <mergeCell ref="M961:S961"/>
    <mergeCell ref="I948:T948"/>
    <mergeCell ref="AC895:AH895"/>
    <mergeCell ref="AA933:AF933"/>
    <mergeCell ref="Z900:AE900"/>
    <mergeCell ref="Y825:AB825"/>
    <mergeCell ref="AC825:AF825"/>
    <mergeCell ref="AA941:AF941"/>
    <mergeCell ref="AA929:AF929"/>
    <mergeCell ref="U930:Z930"/>
    <mergeCell ref="AA930:AF930"/>
    <mergeCell ref="Z901:AE901"/>
    <mergeCell ref="W878:AC878"/>
    <mergeCell ref="U931:Z931"/>
    <mergeCell ref="F915:T915"/>
    <mergeCell ref="I946:T946"/>
    <mergeCell ref="AA946:AF946"/>
    <mergeCell ref="C826:H826"/>
    <mergeCell ref="F916:T917"/>
    <mergeCell ref="F939:T939"/>
    <mergeCell ref="AC885:AH885"/>
    <mergeCell ref="W861:AC861"/>
    <mergeCell ref="C895:AB895"/>
    <mergeCell ref="U924:Z924"/>
    <mergeCell ref="U933:Z933"/>
    <mergeCell ref="U934:Z934"/>
    <mergeCell ref="P945:T945"/>
    <mergeCell ref="F946:H946"/>
    <mergeCell ref="F926:T926"/>
    <mergeCell ref="C830:H830"/>
    <mergeCell ref="F831:L831"/>
    <mergeCell ref="C827:H827"/>
    <mergeCell ref="Y830:AB830"/>
    <mergeCell ref="W872:AC872"/>
    <mergeCell ref="DO739:DS739"/>
    <mergeCell ref="CG736:CH736"/>
    <mergeCell ref="CI740:CJ740"/>
    <mergeCell ref="BG848:BL848"/>
    <mergeCell ref="AH731:AJ731"/>
    <mergeCell ref="CP802:CT802"/>
    <mergeCell ref="CP788:CT788"/>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Z814:AE814"/>
    <mergeCell ref="Y827:AB827"/>
    <mergeCell ref="AG827:AJ827"/>
    <mergeCell ref="CI737:CJ737"/>
    <mergeCell ref="CP751:CT751"/>
    <mergeCell ref="CM751:CN751"/>
    <mergeCell ref="CI741:CJ741"/>
    <mergeCell ref="AG829:AJ829"/>
    <mergeCell ref="AG826:AJ826"/>
    <mergeCell ref="AG825:AJ825"/>
    <mergeCell ref="Z817:AE817"/>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CU774:CY774"/>
    <mergeCell ref="X783:AB786"/>
    <mergeCell ref="X787:AB787"/>
    <mergeCell ref="X796:AB796"/>
    <mergeCell ref="Y829:AB829"/>
    <mergeCell ref="AC829:AF829"/>
    <mergeCell ref="Y826:AB826"/>
    <mergeCell ref="P816:Y816"/>
    <mergeCell ref="O756:R756"/>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U734:DY734"/>
    <mergeCell ref="DZ731:ED731"/>
    <mergeCell ref="EJ726:EN726"/>
    <mergeCell ref="DZ726:ED726"/>
    <mergeCell ref="DU728:DY728"/>
    <mergeCell ref="DU722:DY722"/>
    <mergeCell ref="EE721:EI721"/>
    <mergeCell ref="EJ721:EN721"/>
    <mergeCell ref="ET752:EX752"/>
    <mergeCell ref="EO751:ES751"/>
    <mergeCell ref="CZ752:DD752"/>
    <mergeCell ref="ET753:EX753"/>
    <mergeCell ref="ET718:EX718"/>
    <mergeCell ref="DU725:DY725"/>
    <mergeCell ref="DZ725:ED725"/>
    <mergeCell ref="DU723:DY723"/>
    <mergeCell ref="DZ723:ED723"/>
    <mergeCell ref="EE719:EI719"/>
    <mergeCell ref="DZ720:ED720"/>
    <mergeCell ref="EJ719:EN719"/>
    <mergeCell ref="AC729:AG729"/>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EO720:ES720"/>
    <mergeCell ref="ET731:EX731"/>
    <mergeCell ref="EJ727:EN727"/>
    <mergeCell ref="EO729:ES729"/>
    <mergeCell ref="EO732:ES732"/>
    <mergeCell ref="ET729:EX729"/>
    <mergeCell ref="DE720:DI720"/>
    <mergeCell ref="DE724:DI724"/>
    <mergeCell ref="AA672:AK672"/>
    <mergeCell ref="Z684:AK684"/>
    <mergeCell ref="DX652:EB652"/>
    <mergeCell ref="EC652:EG652"/>
    <mergeCell ref="W700:AK700"/>
    <mergeCell ref="Z683:AK683"/>
    <mergeCell ref="AA688:AK688"/>
    <mergeCell ref="AC638:AE638"/>
    <mergeCell ref="DX643:EB643"/>
    <mergeCell ref="DX640:EB640"/>
    <mergeCell ref="EE722:EI722"/>
    <mergeCell ref="W634:Y634"/>
    <mergeCell ref="AF638:AJ638"/>
    <mergeCell ref="AI663:AK663"/>
    <mergeCell ref="AF632:AJ632"/>
    <mergeCell ref="DX645:EB645"/>
    <mergeCell ref="DO723:DS723"/>
    <mergeCell ref="DO724:DS724"/>
    <mergeCell ref="DJ721:DN721"/>
    <mergeCell ref="W635:Y635"/>
    <mergeCell ref="CZ719:DD719"/>
    <mergeCell ref="CG718:CH718"/>
    <mergeCell ref="Z667:AK667"/>
    <mergeCell ref="AO633:AS633"/>
    <mergeCell ref="DZ721:ED721"/>
    <mergeCell ref="DZ722:ED722"/>
    <mergeCell ref="DU717:DY717"/>
    <mergeCell ref="DU719:DY719"/>
    <mergeCell ref="EE717:EI717"/>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13:AF513"/>
    <mergeCell ref="Z611:AK611"/>
    <mergeCell ref="AC518:AF518"/>
    <mergeCell ref="AH517:AK517"/>
    <mergeCell ref="AH718:AJ718"/>
    <mergeCell ref="AC718:AG718"/>
    <mergeCell ref="AK714:AO717"/>
    <mergeCell ref="AK718:AO718"/>
    <mergeCell ref="AK630:AN630"/>
    <mergeCell ref="DJ723:DN723"/>
    <mergeCell ref="DJ724:DN724"/>
    <mergeCell ref="DO727:DS727"/>
    <mergeCell ref="DO728:DS728"/>
    <mergeCell ref="DO722:DS722"/>
    <mergeCell ref="AC631:AE631"/>
    <mergeCell ref="AM565:AS565"/>
    <mergeCell ref="AM563:AS563"/>
    <mergeCell ref="Z676:AK676"/>
    <mergeCell ref="AC630:AE630"/>
    <mergeCell ref="AA598:AK598"/>
    <mergeCell ref="DJ730:DN730"/>
    <mergeCell ref="AM558:AS558"/>
    <mergeCell ref="AM562:AS562"/>
    <mergeCell ref="AA664:AK664"/>
    <mergeCell ref="CZ723:DD723"/>
    <mergeCell ref="CI723:CJ723"/>
    <mergeCell ref="W471:Y471"/>
    <mergeCell ref="EH652:EL652"/>
    <mergeCell ref="EJ725:EN725"/>
    <mergeCell ref="DZ728:ED728"/>
    <mergeCell ref="EE724:EI724"/>
    <mergeCell ref="Z679:AE679"/>
    <mergeCell ref="Z670:AK670"/>
    <mergeCell ref="AK728:AO728"/>
    <mergeCell ref="DX668:EB668"/>
    <mergeCell ref="EC668:EG668"/>
    <mergeCell ref="DO718:DS718"/>
    <mergeCell ref="DO719:DS719"/>
    <mergeCell ref="AK628:AN628"/>
    <mergeCell ref="AM564:AS564"/>
    <mergeCell ref="AI581:AK581"/>
    <mergeCell ref="Z601:AK601"/>
    <mergeCell ref="DE717:DI717"/>
    <mergeCell ref="CU719:CY719"/>
    <mergeCell ref="DO717:DS717"/>
    <mergeCell ref="CZ721:DD721"/>
    <mergeCell ref="AE564:AH564"/>
    <mergeCell ref="AK721:AO721"/>
    <mergeCell ref="Z678:AK678"/>
    <mergeCell ref="DJ719:DN719"/>
    <mergeCell ref="CU717:CY717"/>
    <mergeCell ref="AC635:AE635"/>
    <mergeCell ref="AF629:AJ629"/>
    <mergeCell ref="C557:L557"/>
    <mergeCell ref="W563:Y563"/>
    <mergeCell ref="AA614:AK614"/>
    <mergeCell ref="AC624:AE626"/>
    <mergeCell ref="AE702:AF702"/>
    <mergeCell ref="G645:R645"/>
    <mergeCell ref="C629:L629"/>
    <mergeCell ref="T629:V629"/>
    <mergeCell ref="AO631:AS631"/>
    <mergeCell ref="AM566:AS566"/>
    <mergeCell ref="Q632:S632"/>
    <mergeCell ref="Q624:S626"/>
    <mergeCell ref="G572:L572"/>
    <mergeCell ref="Z581:AE581"/>
    <mergeCell ref="Z586:AK586"/>
    <mergeCell ref="G581:L581"/>
    <mergeCell ref="Z604:AK604"/>
    <mergeCell ref="AO632:AS632"/>
    <mergeCell ref="Z661:AK661"/>
    <mergeCell ref="AK636:AN636"/>
    <mergeCell ref="C637:L637"/>
    <mergeCell ref="G679:L679"/>
    <mergeCell ref="Z662:AK662"/>
    <mergeCell ref="G651:R651"/>
    <mergeCell ref="G652:R652"/>
    <mergeCell ref="W633:Y633"/>
    <mergeCell ref="Z632:AB632"/>
    <mergeCell ref="Z595:AK595"/>
    <mergeCell ref="G603:R603"/>
    <mergeCell ref="P597:R597"/>
    <mergeCell ref="G597:L597"/>
    <mergeCell ref="Z671:AE671"/>
    <mergeCell ref="C561:L561"/>
    <mergeCell ref="AG599:AH599"/>
    <mergeCell ref="AI613:AK613"/>
    <mergeCell ref="AM556:AS556"/>
    <mergeCell ref="Z434:AA434"/>
    <mergeCell ref="H590:R590"/>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M561:AS561"/>
    <mergeCell ref="Z631:AB631"/>
    <mergeCell ref="AF624:AJ626"/>
    <mergeCell ref="AM559:AS559"/>
    <mergeCell ref="Z577:AK577"/>
    <mergeCell ref="AF574:AK574"/>
    <mergeCell ref="Z585:AK585"/>
    <mergeCell ref="W565:Y565"/>
    <mergeCell ref="G609:R609"/>
    <mergeCell ref="N615:O615"/>
    <mergeCell ref="T565:V565"/>
    <mergeCell ref="C560:L560"/>
    <mergeCell ref="Z560:AD560"/>
    <mergeCell ref="AI563:AL563"/>
    <mergeCell ref="Z563:AD563"/>
    <mergeCell ref="T560:V560"/>
    <mergeCell ref="G570:R570"/>
    <mergeCell ref="C563:L563"/>
    <mergeCell ref="AE565:AH565"/>
    <mergeCell ref="G587:R587"/>
    <mergeCell ref="AI565:AL565"/>
    <mergeCell ref="AG607:AH607"/>
    <mergeCell ref="AG591:AH591"/>
    <mergeCell ref="Z603:AK603"/>
    <mergeCell ref="Z561:AD561"/>
    <mergeCell ref="M565:P565"/>
    <mergeCell ref="AE563:AH563"/>
    <mergeCell ref="T563:V563"/>
    <mergeCell ref="Z564:AD564"/>
    <mergeCell ref="G568:R568"/>
    <mergeCell ref="G579:R579"/>
    <mergeCell ref="G594:R594"/>
    <mergeCell ref="Z594:AK594"/>
    <mergeCell ref="Z610:AK610"/>
    <mergeCell ref="Z597:AE597"/>
    <mergeCell ref="M564:P564"/>
    <mergeCell ref="Z565:AD565"/>
    <mergeCell ref="AI562:AL562"/>
    <mergeCell ref="Z568:AK568"/>
    <mergeCell ref="AI564:AL564"/>
    <mergeCell ref="C564:L564"/>
    <mergeCell ref="T630:V630"/>
    <mergeCell ref="T631:V631"/>
    <mergeCell ref="AC628:AE628"/>
    <mergeCell ref="Z569:AK569"/>
    <mergeCell ref="W624:Y626"/>
    <mergeCell ref="AI597:AK597"/>
    <mergeCell ref="Z570:AK570"/>
    <mergeCell ref="Q630:S630"/>
    <mergeCell ref="G601:R601"/>
    <mergeCell ref="W628:Y628"/>
    <mergeCell ref="T628:V628"/>
    <mergeCell ref="Z578:AK578"/>
    <mergeCell ref="Z580:AK580"/>
    <mergeCell ref="G610:R610"/>
    <mergeCell ref="A617:AT618"/>
    <mergeCell ref="B624:L626"/>
    <mergeCell ref="Z613:AE613"/>
    <mergeCell ref="AC629:AE629"/>
    <mergeCell ref="P589:R589"/>
    <mergeCell ref="Z588:AK588"/>
    <mergeCell ref="AK627:AN627"/>
    <mergeCell ref="AO628:AS628"/>
    <mergeCell ref="AO624:AS626"/>
    <mergeCell ref="H582:R582"/>
    <mergeCell ref="Z579:AK579"/>
    <mergeCell ref="G586:R586"/>
    <mergeCell ref="M574:R574"/>
    <mergeCell ref="AE562:AH562"/>
    <mergeCell ref="Q562:S562"/>
    <mergeCell ref="T559:V559"/>
    <mergeCell ref="T557:V557"/>
    <mergeCell ref="Q554:S554"/>
    <mergeCell ref="T554:V554"/>
    <mergeCell ref="AE556:AH556"/>
    <mergeCell ref="AE559:AH559"/>
    <mergeCell ref="AI559:AL559"/>
    <mergeCell ref="M561:P561"/>
    <mergeCell ref="W556:Y556"/>
    <mergeCell ref="Q556:S556"/>
    <mergeCell ref="W564:Y564"/>
    <mergeCell ref="M627:P627"/>
    <mergeCell ref="M629:P629"/>
    <mergeCell ref="M628:P628"/>
    <mergeCell ref="M633:P633"/>
    <mergeCell ref="G578:R578"/>
    <mergeCell ref="Z572:AE572"/>
    <mergeCell ref="Z589:AE589"/>
    <mergeCell ref="G585:R585"/>
    <mergeCell ref="AG575:AH575"/>
    <mergeCell ref="Z571:AK571"/>
    <mergeCell ref="AE554:AH554"/>
    <mergeCell ref="AI558:AL558"/>
    <mergeCell ref="M555:P555"/>
    <mergeCell ref="Q557:S557"/>
    <mergeCell ref="Z557:AD557"/>
    <mergeCell ref="C555:L555"/>
    <mergeCell ref="C556:L556"/>
    <mergeCell ref="Z605:AE605"/>
    <mergeCell ref="Z609:AK609"/>
    <mergeCell ref="H648:R648"/>
    <mergeCell ref="M636:P636"/>
    <mergeCell ref="T636:V636"/>
    <mergeCell ref="T637:V637"/>
    <mergeCell ref="AK631:AN631"/>
    <mergeCell ref="AK632:AN632"/>
    <mergeCell ref="M637:P637"/>
    <mergeCell ref="M638:P638"/>
    <mergeCell ref="W638:Y638"/>
    <mergeCell ref="Z635:AB635"/>
    <mergeCell ref="G644:R644"/>
    <mergeCell ref="AA648:AK648"/>
    <mergeCell ref="AK637:AN637"/>
    <mergeCell ref="P647:R647"/>
    <mergeCell ref="AI647:AK647"/>
    <mergeCell ref="N607:O607"/>
    <mergeCell ref="G593:R593"/>
    <mergeCell ref="G605:L605"/>
    <mergeCell ref="H606:R606"/>
    <mergeCell ref="AK624:AN626"/>
    <mergeCell ref="AC632:AE632"/>
    <mergeCell ref="AA606:AK606"/>
    <mergeCell ref="P605:R605"/>
    <mergeCell ref="C628:L628"/>
    <mergeCell ref="H614:R614"/>
    <mergeCell ref="G613:L613"/>
    <mergeCell ref="G602:R602"/>
    <mergeCell ref="AF631:AJ631"/>
    <mergeCell ref="AK633:AN633"/>
    <mergeCell ref="Z645:AK645"/>
    <mergeCell ref="Z629:AB629"/>
    <mergeCell ref="Z630:AB630"/>
    <mergeCell ref="CP719:CT719"/>
    <mergeCell ref="CM733:CN733"/>
    <mergeCell ref="CI733:CJ733"/>
    <mergeCell ref="CG719:CH719"/>
    <mergeCell ref="CI721:CJ721"/>
    <mergeCell ref="CP737:CT737"/>
    <mergeCell ref="CZ734:DD734"/>
    <mergeCell ref="CI735:CJ735"/>
    <mergeCell ref="CK736:CL736"/>
    <mergeCell ref="G686:R686"/>
    <mergeCell ref="N689:O689"/>
    <mergeCell ref="G678:R678"/>
    <mergeCell ref="P679:R679"/>
    <mergeCell ref="G661:R661"/>
    <mergeCell ref="AG673:AH673"/>
    <mergeCell ref="H680:R680"/>
    <mergeCell ref="T725:W725"/>
    <mergeCell ref="T729:W729"/>
    <mergeCell ref="T722:W722"/>
    <mergeCell ref="CM723:CN723"/>
    <mergeCell ref="CM725:CN725"/>
    <mergeCell ref="CK730:CL730"/>
    <mergeCell ref="CP731:CT731"/>
    <mergeCell ref="CI729:CJ729"/>
    <mergeCell ref="CP729:CT729"/>
    <mergeCell ref="CU722:CY722"/>
    <mergeCell ref="CZ722:DD722"/>
    <mergeCell ref="CG725:CH725"/>
    <mergeCell ref="CK725:CL725"/>
    <mergeCell ref="CP723:CT723"/>
    <mergeCell ref="Z687:AE687"/>
    <mergeCell ref="AE699:AI699"/>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P727:CT727"/>
    <mergeCell ref="CP741:CT741"/>
    <mergeCell ref="DE731:DI731"/>
    <mergeCell ref="DE739:DI739"/>
    <mergeCell ref="CP728:CT728"/>
    <mergeCell ref="CU728:CY728"/>
    <mergeCell ref="CK732:CL732"/>
    <mergeCell ref="DE734:DI734"/>
    <mergeCell ref="CZ729:DD729"/>
    <mergeCell ref="CI734:CJ734"/>
    <mergeCell ref="CZ727:DD727"/>
    <mergeCell ref="CM739:CN739"/>
    <mergeCell ref="DE728:DI728"/>
    <mergeCell ref="CU729:CY729"/>
    <mergeCell ref="CP733:CT733"/>
    <mergeCell ref="CK735:CL735"/>
    <mergeCell ref="CP732:CT732"/>
    <mergeCell ref="CM729:CN729"/>
    <mergeCell ref="DE730:DI730"/>
    <mergeCell ref="CM730:CN730"/>
    <mergeCell ref="CK727:CL727"/>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G734:CH734"/>
    <mergeCell ref="CP739:CT739"/>
    <mergeCell ref="CM738:CN738"/>
    <mergeCell ref="CI748:CJ748"/>
    <mergeCell ref="CK742:CL742"/>
    <mergeCell ref="CZ744:DD744"/>
    <mergeCell ref="AK733:AO733"/>
    <mergeCell ref="CM724:CN724"/>
    <mergeCell ref="CG741:CH741"/>
    <mergeCell ref="O730:S730"/>
    <mergeCell ref="CU736:CY736"/>
    <mergeCell ref="CP724:CT724"/>
    <mergeCell ref="CI719:CJ719"/>
    <mergeCell ref="CG742:CH742"/>
    <mergeCell ref="CG743:CH743"/>
    <mergeCell ref="CK741:CL741"/>
    <mergeCell ref="CM741:CN741"/>
    <mergeCell ref="CG737:CH737"/>
    <mergeCell ref="CG733:CH733"/>
    <mergeCell ref="CI717:CJ717"/>
    <mergeCell ref="AA680:AK680"/>
    <mergeCell ref="G719:J719"/>
    <mergeCell ref="AK729:AO729"/>
    <mergeCell ref="CG739:CH739"/>
    <mergeCell ref="CG740:CH740"/>
    <mergeCell ref="AH740:AJ740"/>
    <mergeCell ref="AC739:AG739"/>
    <mergeCell ref="O739:S739"/>
    <mergeCell ref="X723:AB723"/>
    <mergeCell ref="X740:AB740"/>
    <mergeCell ref="X732:AB732"/>
    <mergeCell ref="AK740:AO740"/>
    <mergeCell ref="AK741:AO741"/>
    <mergeCell ref="T739:W739"/>
    <mergeCell ref="K738:N738"/>
    <mergeCell ref="AC723:AG723"/>
    <mergeCell ref="T741:W741"/>
    <mergeCell ref="X722:AB722"/>
    <mergeCell ref="CI727:CJ727"/>
    <mergeCell ref="E885:AB885"/>
    <mergeCell ref="U823:X824"/>
    <mergeCell ref="Z806:AE806"/>
    <mergeCell ref="X791:AB791"/>
    <mergeCell ref="O797:S797"/>
    <mergeCell ref="X724:AB724"/>
    <mergeCell ref="O795:S795"/>
    <mergeCell ref="AC791:AG791"/>
    <mergeCell ref="AC741:AG741"/>
    <mergeCell ref="AC737:AG737"/>
    <mergeCell ref="J769:N772"/>
    <mergeCell ref="G727:J727"/>
    <mergeCell ref="G687:L687"/>
    <mergeCell ref="B718:F718"/>
    <mergeCell ref="G720:J720"/>
    <mergeCell ref="B721:F721"/>
    <mergeCell ref="AH726:AJ726"/>
    <mergeCell ref="X769:AB772"/>
    <mergeCell ref="T769:W772"/>
    <mergeCell ref="AC793:AG793"/>
    <mergeCell ref="X775:AB775"/>
    <mergeCell ref="X776:AB776"/>
    <mergeCell ref="AE696:AI696"/>
    <mergeCell ref="G718:J718"/>
    <mergeCell ref="E707:AK707"/>
    <mergeCell ref="W706:AK706"/>
    <mergeCell ref="AH749:AJ749"/>
    <mergeCell ref="AH739:AJ739"/>
    <mergeCell ref="AC795:AG795"/>
    <mergeCell ref="B742:F742"/>
    <mergeCell ref="B743:F743"/>
    <mergeCell ref="X750:AB750"/>
    <mergeCell ref="F937:T937"/>
    <mergeCell ref="U937:Z937"/>
    <mergeCell ref="AA937:AF937"/>
    <mergeCell ref="F942:T942"/>
    <mergeCell ref="U942:Z942"/>
    <mergeCell ref="AA942:AF942"/>
    <mergeCell ref="C892:AB892"/>
    <mergeCell ref="W866:AC866"/>
    <mergeCell ref="F930:T930"/>
    <mergeCell ref="F931:T931"/>
    <mergeCell ref="U936:Z936"/>
    <mergeCell ref="F940:T940"/>
    <mergeCell ref="U939:Z939"/>
    <mergeCell ref="U940:Z940"/>
    <mergeCell ref="AA938:AF938"/>
    <mergeCell ref="U923:Z923"/>
    <mergeCell ref="BD901:BE901"/>
    <mergeCell ref="M877:V877"/>
    <mergeCell ref="W869:AC869"/>
    <mergeCell ref="W876:AC876"/>
    <mergeCell ref="AA928:AF928"/>
    <mergeCell ref="AA936:AF936"/>
    <mergeCell ref="W868:AC868"/>
    <mergeCell ref="M875:V875"/>
    <mergeCell ref="W877:AC877"/>
    <mergeCell ref="AC886:AH886"/>
    <mergeCell ref="AA931:AF931"/>
    <mergeCell ref="U932:Z932"/>
    <mergeCell ref="AA932:AF932"/>
    <mergeCell ref="M871:V871"/>
    <mergeCell ref="M878:V878"/>
    <mergeCell ref="W870:AC870"/>
    <mergeCell ref="C828:H828"/>
    <mergeCell ref="M823:P824"/>
    <mergeCell ref="T796:W796"/>
    <mergeCell ref="AG823:AJ824"/>
    <mergeCell ref="Z818:AE818"/>
    <mergeCell ref="C825:H825"/>
    <mergeCell ref="AG828:AJ828"/>
    <mergeCell ref="Z807:AE807"/>
    <mergeCell ref="O794:S794"/>
    <mergeCell ref="AC828:AF828"/>
    <mergeCell ref="Q823:T824"/>
    <mergeCell ref="BD904:BE904"/>
    <mergeCell ref="BD906:BF906"/>
    <mergeCell ref="BD905:BF905"/>
    <mergeCell ref="BD910:BE910"/>
    <mergeCell ref="BD903:BE903"/>
    <mergeCell ref="AC889:AH889"/>
    <mergeCell ref="AC894:AH894"/>
    <mergeCell ref="Z899:AE899"/>
    <mergeCell ref="AC888:AH888"/>
    <mergeCell ref="M832:P832"/>
    <mergeCell ref="C829:H829"/>
    <mergeCell ref="Q830:T830"/>
    <mergeCell ref="M830:P830"/>
    <mergeCell ref="U831:X831"/>
    <mergeCell ref="U830:X830"/>
    <mergeCell ref="W859:AC859"/>
    <mergeCell ref="W849:AC849"/>
    <mergeCell ref="W842:AC842"/>
    <mergeCell ref="W847:AC847"/>
    <mergeCell ref="M861:V861"/>
    <mergeCell ref="W845:AC845"/>
    <mergeCell ref="W857:AC857"/>
    <mergeCell ref="M874:V874"/>
    <mergeCell ref="W851:AC851"/>
    <mergeCell ref="W855:AC855"/>
    <mergeCell ref="W852:AC852"/>
    <mergeCell ref="W854:AC854"/>
    <mergeCell ref="W874:AC874"/>
    <mergeCell ref="T858:V858"/>
    <mergeCell ref="T860:V860"/>
    <mergeCell ref="W867:AC867"/>
    <mergeCell ref="W862:AC862"/>
    <mergeCell ref="AG831:AJ831"/>
    <mergeCell ref="Q832:T832"/>
    <mergeCell ref="W843:AC843"/>
    <mergeCell ref="C832:L832"/>
    <mergeCell ref="Y831:AB831"/>
    <mergeCell ref="C837:AJ837"/>
    <mergeCell ref="M846:V846"/>
    <mergeCell ref="J849:V849"/>
    <mergeCell ref="W846:AC846"/>
    <mergeCell ref="J792:N792"/>
    <mergeCell ref="K735:N735"/>
    <mergeCell ref="K736:N736"/>
    <mergeCell ref="G736:J736"/>
    <mergeCell ref="G751:J751"/>
    <mergeCell ref="K742:N742"/>
    <mergeCell ref="O742:S742"/>
    <mergeCell ref="K739:N739"/>
    <mergeCell ref="X739:AB739"/>
    <mergeCell ref="J794:N794"/>
    <mergeCell ref="J789:N789"/>
    <mergeCell ref="X773:AB773"/>
    <mergeCell ref="O789:S789"/>
    <mergeCell ref="X795:AB795"/>
    <mergeCell ref="Z813:AE813"/>
    <mergeCell ref="C798:AN799"/>
    <mergeCell ref="J793:N793"/>
    <mergeCell ref="X752:AB752"/>
    <mergeCell ref="AC740:AG740"/>
    <mergeCell ref="O790:S790"/>
    <mergeCell ref="O776:S776"/>
    <mergeCell ref="O769:S772"/>
    <mergeCell ref="B754:AH755"/>
    <mergeCell ref="X774:AB774"/>
    <mergeCell ref="T773:W773"/>
    <mergeCell ref="J773:N773"/>
    <mergeCell ref="O773:S773"/>
    <mergeCell ref="T752:W752"/>
    <mergeCell ref="J776:N776"/>
    <mergeCell ref="G750:J750"/>
    <mergeCell ref="B744:F744"/>
    <mergeCell ref="B745:F745"/>
    <mergeCell ref="T789:W789"/>
    <mergeCell ref="X733:AB733"/>
    <mergeCell ref="G732:J732"/>
    <mergeCell ref="X734:AB734"/>
    <mergeCell ref="AC788:AG788"/>
    <mergeCell ref="G738:J738"/>
    <mergeCell ref="O783:S786"/>
    <mergeCell ref="AK746:AO746"/>
    <mergeCell ref="O735:S735"/>
    <mergeCell ref="T738:W738"/>
    <mergeCell ref="T742:W742"/>
    <mergeCell ref="AC775:AG775"/>
    <mergeCell ref="AC783:AG786"/>
    <mergeCell ref="J791:N791"/>
    <mergeCell ref="X792:AB792"/>
    <mergeCell ref="Z809:AE809"/>
    <mergeCell ref="O791:S791"/>
    <mergeCell ref="J783:N786"/>
    <mergeCell ref="T790:W790"/>
    <mergeCell ref="X793:AB793"/>
    <mergeCell ref="T783:W786"/>
    <mergeCell ref="J795:N795"/>
    <mergeCell ref="AC774:AG774"/>
    <mergeCell ref="X777:AB777"/>
    <mergeCell ref="AC797:AG797"/>
    <mergeCell ref="AC787:AG787"/>
    <mergeCell ref="AC753:AG753"/>
    <mergeCell ref="O753:S753"/>
    <mergeCell ref="T795:W795"/>
    <mergeCell ref="X789:AB789"/>
    <mergeCell ref="O788:S788"/>
    <mergeCell ref="G739:J739"/>
    <mergeCell ref="C630:L630"/>
    <mergeCell ref="X794:AB794"/>
    <mergeCell ref="J779:K779"/>
    <mergeCell ref="J787:N787"/>
    <mergeCell ref="AH742:AJ742"/>
    <mergeCell ref="AK739:AO739"/>
    <mergeCell ref="T748:W748"/>
    <mergeCell ref="J775:N775"/>
    <mergeCell ref="AC776:AG776"/>
    <mergeCell ref="AC792:AG792"/>
    <mergeCell ref="O787:S787"/>
    <mergeCell ref="AC777:AG777"/>
    <mergeCell ref="T794:W794"/>
    <mergeCell ref="T792:W792"/>
    <mergeCell ref="O777:S777"/>
    <mergeCell ref="X788:AB788"/>
    <mergeCell ref="J788:N788"/>
    <mergeCell ref="T744:W744"/>
    <mergeCell ref="O740:S740"/>
    <mergeCell ref="K741:N741"/>
    <mergeCell ref="AC794:AG794"/>
    <mergeCell ref="AH752:AJ752"/>
    <mergeCell ref="AD759:AF759"/>
    <mergeCell ref="X729:AB729"/>
    <mergeCell ref="J774:N774"/>
    <mergeCell ref="T776:W776"/>
    <mergeCell ref="T774:W774"/>
    <mergeCell ref="T793:W793"/>
    <mergeCell ref="O775:S775"/>
    <mergeCell ref="T791:W791"/>
    <mergeCell ref="T787:W787"/>
    <mergeCell ref="T788:W788"/>
    <mergeCell ref="X714:AB717"/>
    <mergeCell ref="AE694:AF694"/>
    <mergeCell ref="W637:Y637"/>
    <mergeCell ref="AG657:AH657"/>
    <mergeCell ref="Z634:AB634"/>
    <mergeCell ref="G646:R646"/>
    <mergeCell ref="G714:J717"/>
    <mergeCell ref="G668:R668"/>
    <mergeCell ref="K714:N717"/>
    <mergeCell ref="AK747:AO747"/>
    <mergeCell ref="X728:AB728"/>
    <mergeCell ref="X741:AB741"/>
    <mergeCell ref="N657:O657"/>
    <mergeCell ref="Z660:AK660"/>
    <mergeCell ref="G663:L663"/>
    <mergeCell ref="T732:W732"/>
    <mergeCell ref="T731:W731"/>
    <mergeCell ref="N649:O649"/>
    <mergeCell ref="AH719:AJ719"/>
    <mergeCell ref="AK745:AO745"/>
    <mergeCell ref="X720:AB720"/>
    <mergeCell ref="G747:J747"/>
    <mergeCell ref="M634:P634"/>
    <mergeCell ref="Q634:S634"/>
    <mergeCell ref="G676:R676"/>
    <mergeCell ref="O714:S717"/>
    <mergeCell ref="G684:R684"/>
    <mergeCell ref="AK732:AO732"/>
    <mergeCell ref="K737:N737"/>
    <mergeCell ref="AO640:AS640"/>
    <mergeCell ref="W636:Y636"/>
    <mergeCell ref="Q638:S638"/>
    <mergeCell ref="AK752:AO752"/>
    <mergeCell ref="AK750:AO750"/>
    <mergeCell ref="AK748:AO748"/>
    <mergeCell ref="G746:J746"/>
    <mergeCell ref="AI605:AK605"/>
    <mergeCell ref="G604:R604"/>
    <mergeCell ref="G577:R577"/>
    <mergeCell ref="X747:AB747"/>
    <mergeCell ref="X745:AB745"/>
    <mergeCell ref="X746:AB746"/>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C635:L635"/>
    <mergeCell ref="C631:L631"/>
    <mergeCell ref="C632:L632"/>
    <mergeCell ref="P687:R687"/>
    <mergeCell ref="R705:T705"/>
    <mergeCell ref="AF628:AJ628"/>
    <mergeCell ref="N599:O599"/>
    <mergeCell ref="AA590:AK590"/>
    <mergeCell ref="AI589:AK589"/>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M358:N358"/>
    <mergeCell ref="R411:S411"/>
    <mergeCell ref="M554:P554"/>
    <mergeCell ref="AE558:AH558"/>
    <mergeCell ref="AH509:AK509"/>
    <mergeCell ref="AE425:AF425"/>
    <mergeCell ref="T556:V556"/>
    <mergeCell ref="C558:L558"/>
    <mergeCell ref="W465:Y465"/>
    <mergeCell ref="O535:AA535"/>
    <mergeCell ref="AH523:AK523"/>
    <mergeCell ref="Q551:S553"/>
    <mergeCell ref="Z432:AA432"/>
    <mergeCell ref="Q487:AK487"/>
    <mergeCell ref="Q486:AK486"/>
    <mergeCell ref="AH502:AK502"/>
    <mergeCell ref="W554:Y554"/>
    <mergeCell ref="AC499:AK499"/>
    <mergeCell ref="W468:Y468"/>
    <mergeCell ref="B503:H508"/>
    <mergeCell ref="D444:AF444"/>
    <mergeCell ref="D450:AF450"/>
    <mergeCell ref="D443:AF443"/>
    <mergeCell ref="AC507:AF507"/>
    <mergeCell ref="Z596:AK596"/>
    <mergeCell ref="H598:R598"/>
    <mergeCell ref="AG583:AH583"/>
    <mergeCell ref="G588:R588"/>
    <mergeCell ref="AA336:AK336"/>
    <mergeCell ref="G595:R595"/>
    <mergeCell ref="G596:R596"/>
    <mergeCell ref="C562:L562"/>
    <mergeCell ref="C559:L559"/>
    <mergeCell ref="C565:L565"/>
    <mergeCell ref="AE560:AH560"/>
    <mergeCell ref="N575:O575"/>
    <mergeCell ref="T561:V561"/>
    <mergeCell ref="G589:L589"/>
    <mergeCell ref="G569:R569"/>
    <mergeCell ref="AI561:AL561"/>
    <mergeCell ref="Q564:S564"/>
    <mergeCell ref="AE561:AH561"/>
    <mergeCell ref="M560:P560"/>
    <mergeCell ref="Q563:S563"/>
    <mergeCell ref="AG437:AJ437"/>
    <mergeCell ref="AH513:AK513"/>
    <mergeCell ref="L508:AB508"/>
    <mergeCell ref="AH514:AK514"/>
    <mergeCell ref="AC535:AF535"/>
    <mergeCell ref="AI554:AL554"/>
    <mergeCell ref="AH519:AK519"/>
    <mergeCell ref="AH536:AK536"/>
    <mergeCell ref="AG448:AJ448"/>
    <mergeCell ref="AH528:AK528"/>
    <mergeCell ref="AH501:AK501"/>
    <mergeCell ref="G474:V474"/>
    <mergeCell ref="AH526:AK526"/>
    <mergeCell ref="W469:Y469"/>
    <mergeCell ref="AH515:AK515"/>
    <mergeCell ref="AC516:AF516"/>
    <mergeCell ref="AC503:AF503"/>
    <mergeCell ref="AH504:AK504"/>
    <mergeCell ref="T551:V553"/>
    <mergeCell ref="AH500:AK500"/>
    <mergeCell ref="H331:M331"/>
    <mergeCell ref="H341:R341"/>
    <mergeCell ref="H335:R335"/>
    <mergeCell ref="AA333:AK333"/>
    <mergeCell ref="H339:M339"/>
    <mergeCell ref="D469:V469"/>
    <mergeCell ref="W473:Y473"/>
    <mergeCell ref="Q394:U394"/>
    <mergeCell ref="AD412:AE412"/>
    <mergeCell ref="H414:AE415"/>
    <mergeCell ref="E368:AH369"/>
    <mergeCell ref="Q365:AG365"/>
    <mergeCell ref="H340:M340"/>
    <mergeCell ref="I421:K421"/>
    <mergeCell ref="P418:R418"/>
    <mergeCell ref="Q492:AK492"/>
    <mergeCell ref="AF418:AH418"/>
    <mergeCell ref="D446:AF446"/>
    <mergeCell ref="D447:AF447"/>
    <mergeCell ref="W466:Y466"/>
    <mergeCell ref="AG446:AJ446"/>
    <mergeCell ref="W467:Y467"/>
    <mergeCell ref="T398:AJ398"/>
    <mergeCell ref="AG440:AJ440"/>
    <mergeCell ref="S401:U401"/>
    <mergeCell ref="M495:P495"/>
    <mergeCell ref="AC456:AF456"/>
    <mergeCell ref="D448:AF448"/>
    <mergeCell ref="AG445:AJ445"/>
    <mergeCell ref="AA331:AF331"/>
    <mergeCell ref="AC454:AF454"/>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H309:R309"/>
    <mergeCell ref="AH254:AK254"/>
    <mergeCell ref="M259:AE259"/>
    <mergeCell ref="AA293:AK293"/>
    <mergeCell ref="L280:AD280"/>
    <mergeCell ref="L275:AD275"/>
    <mergeCell ref="H290:R290"/>
    <mergeCell ref="V276:W276"/>
    <mergeCell ref="AA301:AK301"/>
    <mergeCell ref="AA303:AK303"/>
    <mergeCell ref="D270:H270"/>
    <mergeCell ref="X270:AC270"/>
    <mergeCell ref="Z263:AE263"/>
    <mergeCell ref="AA330:AK330"/>
    <mergeCell ref="H324:M324"/>
    <mergeCell ref="AA325:AK325"/>
    <mergeCell ref="H315:M315"/>
    <mergeCell ref="H321:R321"/>
    <mergeCell ref="H322:R322"/>
    <mergeCell ref="L276:S276"/>
    <mergeCell ref="L278:Q278"/>
    <mergeCell ref="AA289:AK289"/>
    <mergeCell ref="H329:R329"/>
    <mergeCell ref="H330:R330"/>
    <mergeCell ref="AA299:AF299"/>
    <mergeCell ref="AI299:AK299"/>
    <mergeCell ref="H297:R297"/>
    <mergeCell ref="AA300:AF300"/>
    <mergeCell ref="AA298:AK298"/>
    <mergeCell ref="AA292:AF292"/>
    <mergeCell ref="H313:R313"/>
    <mergeCell ref="H314:R314"/>
    <mergeCell ref="H316:M316"/>
    <mergeCell ref="AA322:AK322"/>
    <mergeCell ref="H292:M292"/>
    <mergeCell ref="AA314:AK314"/>
    <mergeCell ref="AA313:AK313"/>
    <mergeCell ref="H319:R319"/>
    <mergeCell ref="AA316:AF316"/>
    <mergeCell ref="AA297:AK297"/>
    <mergeCell ref="H288:R288"/>
    <mergeCell ref="P315:R315"/>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P331:R331"/>
    <mergeCell ref="AA324:AF324"/>
    <mergeCell ref="H328:R328"/>
    <mergeCell ref="AI323:AK323"/>
    <mergeCell ref="AA320:AK320"/>
    <mergeCell ref="H317:R317"/>
    <mergeCell ref="P323:R323"/>
    <mergeCell ref="AA315:AF315"/>
    <mergeCell ref="AA319:AK319"/>
    <mergeCell ref="AA323:AF323"/>
    <mergeCell ref="H311:R311"/>
    <mergeCell ref="H308:M308"/>
    <mergeCell ref="H320:R320"/>
    <mergeCell ref="H323:M323"/>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M249:T249"/>
    <mergeCell ref="Z247:AE247"/>
    <mergeCell ref="W245:X245"/>
    <mergeCell ref="U247:W247"/>
    <mergeCell ref="T196:U196"/>
    <mergeCell ref="D220:Z220"/>
    <mergeCell ref="T193:AI193"/>
    <mergeCell ref="AI227:AJ227"/>
    <mergeCell ref="W253:X253"/>
    <mergeCell ref="Y123:AK123"/>
    <mergeCell ref="P113:S113"/>
    <mergeCell ref="AF243:AK243"/>
    <mergeCell ref="M234:T234"/>
    <mergeCell ref="W234:X234"/>
    <mergeCell ref="T212:U212"/>
    <mergeCell ref="F150:T150"/>
    <mergeCell ref="M237:AE237"/>
    <mergeCell ref="M243:AE243"/>
    <mergeCell ref="O155:AH155"/>
    <mergeCell ref="O153:AH153"/>
    <mergeCell ref="Y120:AK120"/>
    <mergeCell ref="O160:T160"/>
    <mergeCell ref="AI178:AK178"/>
    <mergeCell ref="R177:S177"/>
    <mergeCell ref="D204:M204"/>
    <mergeCell ref="J173:S173"/>
    <mergeCell ref="U236:W236"/>
    <mergeCell ref="T189:AE189"/>
    <mergeCell ref="M238:T238"/>
    <mergeCell ref="T197:U197"/>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AA249:AK249"/>
    <mergeCell ref="M248:AE248"/>
    <mergeCell ref="W261:X261"/>
    <mergeCell ref="U263:W263"/>
    <mergeCell ref="M257:T257"/>
    <mergeCell ref="M256:AE256"/>
    <mergeCell ref="AH197:AI197"/>
    <mergeCell ref="Z205:AN205"/>
    <mergeCell ref="A222:AT223"/>
    <mergeCell ref="T200:U200"/>
    <mergeCell ref="X198:AT199"/>
    <mergeCell ref="AH194:AI194"/>
    <mergeCell ref="AC220:AQ220"/>
    <mergeCell ref="D205:M205"/>
    <mergeCell ref="J174:AB174"/>
    <mergeCell ref="D211:M211"/>
    <mergeCell ref="AI228:AJ228"/>
    <mergeCell ref="M235:AE235"/>
    <mergeCell ref="I185:AE18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O154:AH154"/>
    <mergeCell ref="O156:AH156"/>
    <mergeCell ref="O157:X157"/>
    <mergeCell ref="T195:U195"/>
    <mergeCell ref="E187:AE188"/>
    <mergeCell ref="I189:P189"/>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AH262:AK262"/>
    <mergeCell ref="T267:X267"/>
    <mergeCell ref="M262:AE262"/>
    <mergeCell ref="M263:R263"/>
    <mergeCell ref="M265:T265"/>
    <mergeCell ref="H301:R301"/>
    <mergeCell ref="L277:AD277"/>
    <mergeCell ref="AA291:AF291"/>
    <mergeCell ref="AI291:AK291"/>
    <mergeCell ref="AA296:AK296"/>
    <mergeCell ref="H296:R296"/>
    <mergeCell ref="M252:AE252"/>
    <mergeCell ref="Q393:U393"/>
    <mergeCell ref="AG380:AH380"/>
    <mergeCell ref="M355:N355"/>
    <mergeCell ref="D439:AF439"/>
    <mergeCell ref="AI397:AJ397"/>
    <mergeCell ref="T399:AJ399"/>
    <mergeCell ref="AI339:AK339"/>
    <mergeCell ref="P348:Z348"/>
    <mergeCell ref="N373:AF374"/>
    <mergeCell ref="AJ355:AK355"/>
    <mergeCell ref="AE424:AF424"/>
    <mergeCell ref="N371:Q371"/>
    <mergeCell ref="V382:W382"/>
    <mergeCell ref="J367:K367"/>
    <mergeCell ref="S405:AJ405"/>
    <mergeCell ref="AG379:AH379"/>
    <mergeCell ref="S392:U392"/>
    <mergeCell ref="AG390:AJ390"/>
    <mergeCell ref="Q391:U391"/>
    <mergeCell ref="N372:Q372"/>
    <mergeCell ref="AC253:AE253"/>
    <mergeCell ref="AA339:AF339"/>
    <mergeCell ref="P424:Q424"/>
    <mergeCell ref="M356:N356"/>
    <mergeCell ref="K403:AJ403"/>
    <mergeCell ref="P346:AE346"/>
    <mergeCell ref="Q390:U390"/>
    <mergeCell ref="I410:AE410"/>
    <mergeCell ref="AI389:AJ389"/>
    <mergeCell ref="P347:Z347"/>
    <mergeCell ref="J386:U386"/>
    <mergeCell ref="AH246:AK246"/>
    <mergeCell ref="AA311:AK311"/>
    <mergeCell ref="AA306:AK306"/>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AE402:AJ402"/>
    <mergeCell ref="AC385:AJ385"/>
    <mergeCell ref="H336:R336"/>
    <mergeCell ref="P425:Q425"/>
    <mergeCell ref="I418:K418"/>
    <mergeCell ref="S413:T413"/>
    <mergeCell ref="H338:R338"/>
    <mergeCell ref="AG393:AJ393"/>
    <mergeCell ref="AG391:AJ391"/>
    <mergeCell ref="K404:AJ404"/>
    <mergeCell ref="AC386:AJ386"/>
    <mergeCell ref="Y364:Z364"/>
    <mergeCell ref="N378:P378"/>
    <mergeCell ref="W418:Y418"/>
    <mergeCell ref="S402:U402"/>
    <mergeCell ref="P339:R339"/>
    <mergeCell ref="AA341:AK341"/>
    <mergeCell ref="AG395:AJ395"/>
    <mergeCell ref="AI392:AJ392"/>
    <mergeCell ref="AG394:AJ394"/>
    <mergeCell ref="E420:AJ420"/>
    <mergeCell ref="V377:W377"/>
    <mergeCell ref="S377:T377"/>
    <mergeCell ref="D437:AF437"/>
    <mergeCell ref="D442:AF442"/>
    <mergeCell ref="J388:U388"/>
    <mergeCell ref="AG449:AJ449"/>
    <mergeCell ref="AJ356:AK356"/>
    <mergeCell ref="AD377:AE377"/>
    <mergeCell ref="AC371:AF371"/>
    <mergeCell ref="AG442:AJ442"/>
    <mergeCell ref="AG377:AH377"/>
    <mergeCell ref="AC370:AF370"/>
    <mergeCell ref="AG438:AJ438"/>
    <mergeCell ref="AG439:AJ439"/>
    <mergeCell ref="D438:AF438"/>
    <mergeCell ref="Q389:U389"/>
    <mergeCell ref="AJ357:AK357"/>
    <mergeCell ref="AG401:AJ401"/>
    <mergeCell ref="AC387:AJ387"/>
    <mergeCell ref="V388:AJ388"/>
    <mergeCell ref="AG447:AJ447"/>
    <mergeCell ref="D449:AF449"/>
    <mergeCell ref="N363:O363"/>
    <mergeCell ref="P349:AE349"/>
    <mergeCell ref="N370:Q370"/>
    <mergeCell ref="AF430:AG430"/>
    <mergeCell ref="AM555:AS555"/>
    <mergeCell ref="AM551:AS553"/>
    <mergeCell ref="AH722:AJ722"/>
    <mergeCell ref="Z587:AK587"/>
    <mergeCell ref="AI572:AK572"/>
    <mergeCell ref="T564:V564"/>
    <mergeCell ref="AM554:AS554"/>
    <mergeCell ref="AO639:AS639"/>
    <mergeCell ref="AO629:AS629"/>
    <mergeCell ref="CZ730:DD730"/>
    <mergeCell ref="AI679:AK679"/>
    <mergeCell ref="Z663:AE663"/>
    <mergeCell ref="Z643:AK643"/>
    <mergeCell ref="CZ717:DD717"/>
    <mergeCell ref="CI722:CJ722"/>
    <mergeCell ref="CG721:CH721"/>
    <mergeCell ref="CK720:CL720"/>
    <mergeCell ref="AM560:AS560"/>
    <mergeCell ref="AM557:AS557"/>
    <mergeCell ref="W630:Y630"/>
    <mergeCell ref="AK634:AN634"/>
    <mergeCell ref="AK635:AN635"/>
    <mergeCell ref="AC728:AG728"/>
    <mergeCell ref="CG724:CH724"/>
    <mergeCell ref="CG730:CH730"/>
    <mergeCell ref="CG728:CH728"/>
    <mergeCell ref="X718:AB718"/>
    <mergeCell ref="Z633:AB633"/>
    <mergeCell ref="Z685:AK685"/>
    <mergeCell ref="AE698:AI698"/>
    <mergeCell ref="AC714:AG717"/>
    <mergeCell ref="AC637:AE637"/>
    <mergeCell ref="B723:F723"/>
    <mergeCell ref="AF630:AJ630"/>
    <mergeCell ref="G685:R685"/>
    <mergeCell ref="CP722:CT722"/>
    <mergeCell ref="CP718:CT718"/>
    <mergeCell ref="CI718:CJ718"/>
    <mergeCell ref="CI724:CJ724"/>
    <mergeCell ref="M635:P635"/>
    <mergeCell ref="CZ750:DD750"/>
    <mergeCell ref="CK723:CL723"/>
    <mergeCell ref="CK721:CL721"/>
    <mergeCell ref="CM726:CN726"/>
    <mergeCell ref="CM718:CN718"/>
    <mergeCell ref="CI732:CJ732"/>
    <mergeCell ref="CM728:CN728"/>
    <mergeCell ref="Z652:AK652"/>
    <mergeCell ref="CU726:CY726"/>
    <mergeCell ref="CZ726:DD726"/>
    <mergeCell ref="CK722:CL722"/>
    <mergeCell ref="AG689:AH689"/>
    <mergeCell ref="CK719:CL719"/>
    <mergeCell ref="CK748:CL748"/>
    <mergeCell ref="CM748:CN748"/>
    <mergeCell ref="CG749:CH749"/>
    <mergeCell ref="CK744:CL744"/>
    <mergeCell ref="CM744:CN744"/>
    <mergeCell ref="AK727:AO727"/>
    <mergeCell ref="AH745:AJ745"/>
    <mergeCell ref="AH746:AJ746"/>
    <mergeCell ref="AH747:AJ747"/>
    <mergeCell ref="AH748:AJ748"/>
    <mergeCell ref="Z659:AK659"/>
    <mergeCell ref="B734:F734"/>
    <mergeCell ref="H573:R573"/>
    <mergeCell ref="B566:AL566"/>
    <mergeCell ref="AO638:AS638"/>
    <mergeCell ref="AA582:AK582"/>
    <mergeCell ref="W562:Y562"/>
    <mergeCell ref="W557:Y557"/>
    <mergeCell ref="AE557:AH557"/>
    <mergeCell ref="T562:V562"/>
    <mergeCell ref="G722:J722"/>
    <mergeCell ref="CK733:CL733"/>
    <mergeCell ref="AK743:AO743"/>
    <mergeCell ref="AK744:AO744"/>
    <mergeCell ref="X743:AB743"/>
    <mergeCell ref="X744:AB744"/>
    <mergeCell ref="AH743:AJ743"/>
    <mergeCell ref="AH744:AJ744"/>
    <mergeCell ref="G731:J731"/>
    <mergeCell ref="X738:AB738"/>
    <mergeCell ref="Z628:AB628"/>
    <mergeCell ref="M558:P558"/>
    <mergeCell ref="G571:R571"/>
    <mergeCell ref="Q559:S559"/>
    <mergeCell ref="C627:L627"/>
    <mergeCell ref="P581:R581"/>
    <mergeCell ref="N591:O591"/>
    <mergeCell ref="Q560:S560"/>
    <mergeCell ref="Q565:S565"/>
    <mergeCell ref="Q561:S561"/>
    <mergeCell ref="W558:Y558"/>
    <mergeCell ref="W560:Y560"/>
    <mergeCell ref="CI742:CJ742"/>
    <mergeCell ref="AC521:AF521"/>
    <mergeCell ref="AH527:AK527"/>
    <mergeCell ref="AC517:AF517"/>
    <mergeCell ref="Z559:AD559"/>
    <mergeCell ref="Z562:AD562"/>
    <mergeCell ref="W561:Y561"/>
    <mergeCell ref="AC531:AF531"/>
    <mergeCell ref="AC539:AF539"/>
    <mergeCell ref="N583:O583"/>
    <mergeCell ref="AI560:AL560"/>
    <mergeCell ref="O520:AA520"/>
    <mergeCell ref="AE555:AH555"/>
    <mergeCell ref="AH518:AK518"/>
    <mergeCell ref="Q555:S555"/>
    <mergeCell ref="AH539:AK539"/>
    <mergeCell ref="AH541:AK541"/>
    <mergeCell ref="M556:P556"/>
    <mergeCell ref="AC533:AF533"/>
    <mergeCell ref="AC519:AF519"/>
    <mergeCell ref="AI557:AL557"/>
    <mergeCell ref="P572:R572"/>
    <mergeCell ref="AC530:AF530"/>
    <mergeCell ref="Z555:AD555"/>
    <mergeCell ref="M559:P559"/>
    <mergeCell ref="AC520:AF520"/>
    <mergeCell ref="AC527:AF527"/>
    <mergeCell ref="W551:Y553"/>
    <mergeCell ref="AH521:AK521"/>
    <mergeCell ref="W555:Y555"/>
    <mergeCell ref="Z558:AD558"/>
    <mergeCell ref="M562:P562"/>
    <mergeCell ref="M563:P563"/>
    <mergeCell ref="B501:H502"/>
    <mergeCell ref="O523:AA523"/>
    <mergeCell ref="B551:L553"/>
    <mergeCell ref="AH529:AK529"/>
    <mergeCell ref="AH534:AK534"/>
    <mergeCell ref="AC510:AF510"/>
    <mergeCell ref="AG443:AJ443"/>
    <mergeCell ref="AG444:AJ444"/>
    <mergeCell ref="AC541:AF541"/>
    <mergeCell ref="D440:AF440"/>
    <mergeCell ref="AC526:AF526"/>
    <mergeCell ref="AH503:AK503"/>
    <mergeCell ref="AC500:AF500"/>
    <mergeCell ref="AH532:AK532"/>
    <mergeCell ref="AC522:AF522"/>
    <mergeCell ref="AC524:AF524"/>
    <mergeCell ref="AC523:AF523"/>
    <mergeCell ref="AH516:AK516"/>
    <mergeCell ref="D441:AF441"/>
    <mergeCell ref="S489:AK490"/>
    <mergeCell ref="D473:V473"/>
    <mergeCell ref="O529:AA529"/>
    <mergeCell ref="AH533:AK533"/>
    <mergeCell ref="B520:H542"/>
    <mergeCell ref="AH524:AK524"/>
    <mergeCell ref="AH525:AK525"/>
    <mergeCell ref="AC528:AF528"/>
    <mergeCell ref="W470:Y470"/>
    <mergeCell ref="D471:V471"/>
    <mergeCell ref="O532:AA532"/>
    <mergeCell ref="AH507:AK507"/>
    <mergeCell ref="AG450:AJ450"/>
    <mergeCell ref="D467:V467"/>
    <mergeCell ref="AG441:AJ441"/>
    <mergeCell ref="AC538:AF538"/>
    <mergeCell ref="Z554:AD554"/>
    <mergeCell ref="AH540:AK540"/>
    <mergeCell ref="AC515:AF515"/>
    <mergeCell ref="AC514:AF514"/>
    <mergeCell ref="AH538:AK538"/>
    <mergeCell ref="Z551:AD553"/>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AH531:AK531"/>
    <mergeCell ref="AC501:AF501"/>
    <mergeCell ref="C554:L554"/>
    <mergeCell ref="AH505:AK505"/>
    <mergeCell ref="AC504:AF504"/>
    <mergeCell ref="D470:V470"/>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B741:F741"/>
    <mergeCell ref="DJ733:DN733"/>
    <mergeCell ref="D472:V472"/>
    <mergeCell ref="W472:Y472"/>
    <mergeCell ref="AE551:AH553"/>
    <mergeCell ref="AI551:AL553"/>
    <mergeCell ref="AH510:AK510"/>
    <mergeCell ref="DE743:DI743"/>
    <mergeCell ref="G721:J721"/>
    <mergeCell ref="AH506:AK506"/>
    <mergeCell ref="AH508:AK508"/>
    <mergeCell ref="AC540:AF540"/>
    <mergeCell ref="AC508:AF508"/>
    <mergeCell ref="AH537:AK537"/>
    <mergeCell ref="AC534:AF534"/>
    <mergeCell ref="AH542:AK542"/>
    <mergeCell ref="B729:F729"/>
    <mergeCell ref="B737:F737"/>
    <mergeCell ref="B735:F735"/>
    <mergeCell ref="B738:F738"/>
    <mergeCell ref="AC732:AG732"/>
    <mergeCell ref="AH735:AJ735"/>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EZ743:FD743"/>
    <mergeCell ref="FE743:FI743"/>
    <mergeCell ref="FJ743:FN743"/>
    <mergeCell ref="FO743:FS743"/>
    <mergeCell ref="FT743:FX743"/>
    <mergeCell ref="FO747:FS747"/>
    <mergeCell ref="EZ748:FD748"/>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T747:FX747"/>
    <mergeCell ref="FT742:FX742"/>
    <mergeCell ref="FY742:GC742"/>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EO744:ES744"/>
    <mergeCell ref="FO741:FS741"/>
    <mergeCell ref="FY741:GC741"/>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DU741:DY74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CU746:CY746"/>
    <mergeCell ref="DE741:DI741"/>
    <mergeCell ref="DZ741:ED741"/>
    <mergeCell ref="DJ747:DN747"/>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FJ747:FN747"/>
    <mergeCell ref="ET744:EX744"/>
    <mergeCell ref="EZ742:FD742"/>
    <mergeCell ref="DO748:DS748"/>
    <mergeCell ref="CU747:CY747"/>
    <mergeCell ref="CZ747:DD747"/>
    <mergeCell ref="CI750:CJ750"/>
    <mergeCell ref="CP746:CT746"/>
    <mergeCell ref="DO747:DS747"/>
    <mergeCell ref="CP748:CT748"/>
    <mergeCell ref="CU748:CY748"/>
    <mergeCell ref="DU745:DY745"/>
    <mergeCell ref="DZ745:ED745"/>
    <mergeCell ref="AK734:AO734"/>
    <mergeCell ref="AK735:AO735"/>
    <mergeCell ref="CI743:CJ743"/>
    <mergeCell ref="CK743:CL743"/>
    <mergeCell ref="CM743:CN743"/>
    <mergeCell ref="CP740:CT740"/>
    <mergeCell ref="CZ733:DD733"/>
    <mergeCell ref="CZ736:DD736"/>
    <mergeCell ref="CM731:CN731"/>
    <mergeCell ref="CZ743:DD743"/>
    <mergeCell ref="CG748:CH748"/>
    <mergeCell ref="CK746:CL746"/>
    <mergeCell ref="CM746:CN746"/>
    <mergeCell ref="CK737:CL737"/>
    <mergeCell ref="CU743:CY743"/>
    <mergeCell ref="CZ732:DD732"/>
    <mergeCell ref="CU744:CY744"/>
    <mergeCell ref="CG731:CH731"/>
    <mergeCell ref="CG738:CH738"/>
    <mergeCell ref="CK739:CL739"/>
    <mergeCell ref="CP747:CT747"/>
    <mergeCell ref="CI739:CJ739"/>
    <mergeCell ref="CM735:CN735"/>
    <mergeCell ref="CG735:CH735"/>
    <mergeCell ref="CZ735:DD735"/>
    <mergeCell ref="CU734:CY734"/>
    <mergeCell ref="CP736:CT736"/>
    <mergeCell ref="CM737:CN737"/>
    <mergeCell ref="CU737:CY737"/>
    <mergeCell ref="CZ738:DD738"/>
    <mergeCell ref="CM736:CN736"/>
    <mergeCell ref="CI738:CJ738"/>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DE797:DI797"/>
    <mergeCell ref="DE790:DI790"/>
    <mergeCell ref="DE791:DI791"/>
    <mergeCell ref="DE792:DI792"/>
    <mergeCell ref="DE746:DI746"/>
    <mergeCell ref="CU751:CY751"/>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G732:CH732"/>
    <mergeCell ref="CP734:CT734"/>
    <mergeCell ref="CI744:CJ744"/>
    <mergeCell ref="CG750:CH750"/>
    <mergeCell ref="DO742:DS742"/>
    <mergeCell ref="CI752:CJ752"/>
    <mergeCell ref="DE747:DI747"/>
    <mergeCell ref="CP744:CT744"/>
    <mergeCell ref="DJ744:DN744"/>
    <mergeCell ref="CM742:CN742"/>
    <mergeCell ref="CU776:CY776"/>
    <mergeCell ref="CP750:CT750"/>
    <mergeCell ref="CU750:CY750"/>
    <mergeCell ref="CK752:CL752"/>
    <mergeCell ref="CZ775:DD775"/>
    <mergeCell ref="CZ776:DD776"/>
    <mergeCell ref="AA1056:AF1056"/>
    <mergeCell ref="DO792:DS792"/>
    <mergeCell ref="DO793:DS793"/>
    <mergeCell ref="DO794:DS794"/>
    <mergeCell ref="DO795:DS795"/>
    <mergeCell ref="DO796:DS796"/>
    <mergeCell ref="DO797:DS797"/>
    <mergeCell ref="CP797:CT797"/>
    <mergeCell ref="AC826:AF826"/>
    <mergeCell ref="AC827:AF827"/>
    <mergeCell ref="BD902:BE902"/>
    <mergeCell ref="BD900:BE900"/>
    <mergeCell ref="AC893:AH893"/>
    <mergeCell ref="AC884:AH884"/>
    <mergeCell ref="W871:AC871"/>
    <mergeCell ref="BD899:BE899"/>
    <mergeCell ref="AA1057:AF1057"/>
    <mergeCell ref="DE793:DI793"/>
    <mergeCell ref="DE794:DI794"/>
    <mergeCell ref="Y801:AC801"/>
    <mergeCell ref="Y800:AC800"/>
    <mergeCell ref="AC796:AG796"/>
    <mergeCell ref="AG830:AJ830"/>
    <mergeCell ref="U832:X832"/>
    <mergeCell ref="Y823:AB824"/>
    <mergeCell ref="Z815:AE815"/>
    <mergeCell ref="Z808:AE808"/>
    <mergeCell ref="W875:AC875"/>
    <mergeCell ref="M876:V876"/>
    <mergeCell ref="F938:T938"/>
    <mergeCell ref="AZ851:BA851"/>
    <mergeCell ref="AC890:AH890"/>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EO797:ES797"/>
    <mergeCell ref="EO796:ES796"/>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87:ED787"/>
    <mergeCell ref="DZ788:ED788"/>
    <mergeCell ref="DZ789:ED789"/>
    <mergeCell ref="DZ790:ED790"/>
    <mergeCell ref="DZ791:ED791"/>
    <mergeCell ref="DZ792:ED792"/>
    <mergeCell ref="DZ793:ED793"/>
    <mergeCell ref="DZ794:ED794"/>
    <mergeCell ref="DZ795:ED795"/>
    <mergeCell ref="DZ796:ED796"/>
    <mergeCell ref="M831:P831"/>
    <mergeCell ref="Q831:T831"/>
    <mergeCell ref="K718:N718"/>
    <mergeCell ref="K724:N724"/>
    <mergeCell ref="K720:N720"/>
    <mergeCell ref="K725:N725"/>
    <mergeCell ref="K727:N727"/>
    <mergeCell ref="K726:N726"/>
    <mergeCell ref="K719:N719"/>
    <mergeCell ref="K728:N728"/>
    <mergeCell ref="K722:N722"/>
    <mergeCell ref="K723:N723"/>
    <mergeCell ref="K721:N721"/>
    <mergeCell ref="M827:P827"/>
    <mergeCell ref="M825:P825"/>
    <mergeCell ref="U828:X828"/>
    <mergeCell ref="DU797:DY797"/>
    <mergeCell ref="DZ797:ED797"/>
    <mergeCell ref="DE795:DI795"/>
    <mergeCell ref="DE796:DI796"/>
    <mergeCell ref="U826:X826"/>
    <mergeCell ref="M828:P828"/>
    <mergeCell ref="U829:X829"/>
    <mergeCell ref="Q828:T828"/>
    <mergeCell ref="Q829:T829"/>
    <mergeCell ref="Q826:T826"/>
    <mergeCell ref="M829:P829"/>
    <mergeCell ref="Q827:T827"/>
    <mergeCell ref="M826:P826"/>
    <mergeCell ref="Q825:T825"/>
    <mergeCell ref="U825:X825"/>
    <mergeCell ref="U827:X827"/>
    <mergeCell ref="T720:W720"/>
    <mergeCell ref="O723:S723"/>
    <mergeCell ref="T719:W719"/>
    <mergeCell ref="O724:S724"/>
    <mergeCell ref="O718:S718"/>
    <mergeCell ref="T728:W728"/>
    <mergeCell ref="O719:S719"/>
    <mergeCell ref="O722:S722"/>
    <mergeCell ref="T721:W721"/>
    <mergeCell ref="O728:S728"/>
    <mergeCell ref="T727:W727"/>
    <mergeCell ref="O727:S727"/>
    <mergeCell ref="O729:S729"/>
    <mergeCell ref="T726:W726"/>
    <mergeCell ref="O720:S720"/>
    <mergeCell ref="T718:W718"/>
    <mergeCell ref="O721:S721"/>
    <mergeCell ref="T723:W723"/>
    <mergeCell ref="O725:S725"/>
    <mergeCell ref="O726:S726"/>
    <mergeCell ref="J797:N79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workbookViewId="0">
      <selection activeCell="S87" sqref="S87"/>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2)Vintage Housing Holdings, LLC</v>
      </c>
      <c r="H2" s="139" t="str">
        <f>Application!B629&amp;Application!C629</f>
        <v>3)Vintage Housing Development,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c r="F4" s="147">
        <v>1000000</v>
      </c>
      <c r="G4" s="147"/>
      <c r="H4" s="147"/>
      <c r="I4" s="147"/>
      <c r="J4" s="147"/>
      <c r="K4" s="147"/>
      <c r="L4" s="147"/>
      <c r="M4" s="147"/>
      <c r="N4" s="147"/>
      <c r="O4" s="147"/>
      <c r="P4" s="147"/>
      <c r="Q4" s="147"/>
      <c r="R4" s="516">
        <f>SUM(E4:Q4)</f>
        <v>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1000000</v>
      </c>
      <c r="C8" s="146">
        <f t="shared" ref="C8:Q8" si="0">SUM(C4:C7)</f>
        <v>1000000</v>
      </c>
      <c r="D8" s="146">
        <f t="shared" si="0"/>
        <v>0</v>
      </c>
      <c r="E8" s="146">
        <f t="shared" si="0"/>
        <v>0</v>
      </c>
      <c r="F8" s="146">
        <f t="shared" si="0"/>
        <v>1000000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1000000</v>
      </c>
      <c r="S8" s="148"/>
      <c r="T8" s="148"/>
      <c r="U8" s="143"/>
    </row>
    <row r="9" spans="1:21" s="144" customFormat="1">
      <c r="A9" s="145" t="s">
        <v>594</v>
      </c>
      <c r="B9" s="146">
        <f>SUM(C9+D9)</f>
        <v>20000000</v>
      </c>
      <c r="C9" s="147">
        <v>20000000</v>
      </c>
      <c r="D9" s="147"/>
      <c r="E9" s="147">
        <v>12080693</v>
      </c>
      <c r="F9" s="147">
        <v>7919307</v>
      </c>
      <c r="G9" s="147"/>
      <c r="H9" s="147"/>
      <c r="I9" s="147"/>
      <c r="J9" s="147"/>
      <c r="K9" s="147"/>
      <c r="L9" s="147"/>
      <c r="M9" s="147"/>
      <c r="N9" s="147"/>
      <c r="O9" s="147"/>
      <c r="P9" s="147"/>
      <c r="Q9" s="147"/>
      <c r="R9" s="516">
        <f>SUM(E9:Q9)</f>
        <v>20000000</v>
      </c>
      <c r="S9" s="148"/>
      <c r="T9" s="147">
        <v>20000000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20000000</v>
      </c>
      <c r="C11" s="146">
        <f t="shared" ref="C11:Q11" si="1">SUM(C9:C10)</f>
        <v>20000000</v>
      </c>
      <c r="D11" s="146">
        <f t="shared" si="1"/>
        <v>0</v>
      </c>
      <c r="E11" s="146">
        <f t="shared" si="1"/>
        <v>12080693</v>
      </c>
      <c r="F11" s="146">
        <f t="shared" si="1"/>
        <v>7919307</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20000000</v>
      </c>
      <c r="S11" s="148"/>
      <c r="T11" s="150">
        <f>SUM(T9:T10)</f>
        <v>20000000</v>
      </c>
      <c r="U11" s="143"/>
    </row>
    <row r="12" spans="1:21" s="144" customFormat="1">
      <c r="A12" s="149" t="s">
        <v>84</v>
      </c>
      <c r="B12" s="146">
        <f t="shared" ref="B12:Q12" si="2">SUM(B8+B11)</f>
        <v>21000000</v>
      </c>
      <c r="C12" s="146">
        <f t="shared" si="2"/>
        <v>21000000</v>
      </c>
      <c r="D12" s="146">
        <f t="shared" si="2"/>
        <v>0</v>
      </c>
      <c r="E12" s="146">
        <f t="shared" si="2"/>
        <v>12080693</v>
      </c>
      <c r="F12" s="146">
        <f t="shared" si="2"/>
        <v>8919307</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30701755</v>
      </c>
      <c r="C30" s="147">
        <v>30701755</v>
      </c>
      <c r="D30" s="147"/>
      <c r="E30" s="147"/>
      <c r="F30" s="147">
        <v>30701755</v>
      </c>
      <c r="G30" s="147"/>
      <c r="H30" s="147"/>
      <c r="I30" s="147"/>
      <c r="J30" s="147"/>
      <c r="K30" s="147"/>
      <c r="L30" s="147"/>
      <c r="M30" s="147"/>
      <c r="N30" s="147"/>
      <c r="O30" s="147"/>
      <c r="P30" s="147"/>
      <c r="Q30" s="147"/>
      <c r="R30" s="516">
        <f t="shared" si="7"/>
        <v>30701755</v>
      </c>
      <c r="S30" s="147">
        <v>30266668</v>
      </c>
      <c r="T30" s="147"/>
      <c r="U30" s="143"/>
    </row>
    <row r="31" spans="1:21" s="144" customFormat="1">
      <c r="A31" s="145" t="s">
        <v>600</v>
      </c>
      <c r="B31" s="146">
        <f t="shared" si="6"/>
        <v>1842105</v>
      </c>
      <c r="C31" s="147">
        <v>1842105</v>
      </c>
      <c r="D31" s="147"/>
      <c r="E31" s="147"/>
      <c r="F31" s="147">
        <v>1842105</v>
      </c>
      <c r="G31" s="147"/>
      <c r="H31" s="147"/>
      <c r="I31" s="147"/>
      <c r="J31" s="147"/>
      <c r="K31" s="147"/>
      <c r="L31" s="147"/>
      <c r="M31" s="147"/>
      <c r="N31" s="147"/>
      <c r="O31" s="147"/>
      <c r="P31" s="147"/>
      <c r="Q31" s="147"/>
      <c r="R31" s="516">
        <f t="shared" si="7"/>
        <v>1842105</v>
      </c>
      <c r="S31" s="147">
        <v>1816000</v>
      </c>
      <c r="T31" s="147"/>
      <c r="U31" s="143"/>
    </row>
    <row r="32" spans="1:21" s="144" customFormat="1">
      <c r="A32" s="145" t="s">
        <v>137</v>
      </c>
      <c r="B32" s="146">
        <f t="shared" si="6"/>
        <v>614035</v>
      </c>
      <c r="C32" s="147">
        <v>614035</v>
      </c>
      <c r="D32" s="147"/>
      <c r="E32" s="147"/>
      <c r="F32" s="147">
        <v>614035</v>
      </c>
      <c r="G32" s="147"/>
      <c r="H32" s="147"/>
      <c r="I32" s="147"/>
      <c r="J32" s="147"/>
      <c r="K32" s="147"/>
      <c r="L32" s="147"/>
      <c r="M32" s="147"/>
      <c r="N32" s="147"/>
      <c r="O32" s="147"/>
      <c r="P32" s="147"/>
      <c r="Q32" s="147"/>
      <c r="R32" s="516">
        <f t="shared" si="7"/>
        <v>614035</v>
      </c>
      <c r="S32" s="147">
        <v>605332</v>
      </c>
      <c r="T32" s="147"/>
      <c r="U32" s="143"/>
    </row>
    <row r="33" spans="1:21" s="144" customFormat="1">
      <c r="A33" s="145" t="s">
        <v>138</v>
      </c>
      <c r="B33" s="146">
        <f t="shared" si="6"/>
        <v>1842105</v>
      </c>
      <c r="C33" s="147">
        <v>1842105</v>
      </c>
      <c r="D33" s="147"/>
      <c r="E33" s="147"/>
      <c r="F33" s="147">
        <v>1842105</v>
      </c>
      <c r="G33" s="147"/>
      <c r="H33" s="147"/>
      <c r="I33" s="147"/>
      <c r="J33" s="147"/>
      <c r="K33" s="147"/>
      <c r="L33" s="147"/>
      <c r="M33" s="147"/>
      <c r="N33" s="147"/>
      <c r="O33" s="147"/>
      <c r="P33" s="147"/>
      <c r="Q33" s="147"/>
      <c r="R33" s="516">
        <f t="shared" si="7"/>
        <v>1842105</v>
      </c>
      <c r="S33" s="147">
        <v>1816000</v>
      </c>
      <c r="T33" s="147"/>
      <c r="U33" s="143"/>
    </row>
    <row r="34" spans="1:21" s="144" customFormat="1">
      <c r="A34" s="145" t="s">
        <v>139</v>
      </c>
      <c r="B34" s="146">
        <f t="shared" si="6"/>
        <v>500000</v>
      </c>
      <c r="C34" s="147">
        <v>500000</v>
      </c>
      <c r="D34" s="147"/>
      <c r="E34" s="147"/>
      <c r="F34" s="147">
        <v>500000</v>
      </c>
      <c r="G34" s="147"/>
      <c r="H34" s="147"/>
      <c r="I34" s="147"/>
      <c r="J34" s="147"/>
      <c r="K34" s="147"/>
      <c r="L34" s="147"/>
      <c r="M34" s="147"/>
      <c r="N34" s="147"/>
      <c r="O34" s="147"/>
      <c r="P34" s="147"/>
      <c r="Q34" s="147"/>
      <c r="R34" s="516">
        <f t="shared" si="7"/>
        <v>500000</v>
      </c>
      <c r="S34" s="147">
        <v>500000</v>
      </c>
      <c r="T34" s="147"/>
      <c r="U34" s="143"/>
    </row>
    <row r="35" spans="1:21" s="144" customFormat="1">
      <c r="A35" s="145" t="s">
        <v>140</v>
      </c>
      <c r="B35" s="146">
        <f t="shared" si="6"/>
        <v>500000</v>
      </c>
      <c r="C35" s="147">
        <v>500000</v>
      </c>
      <c r="D35" s="147"/>
      <c r="E35" s="147"/>
      <c r="F35" s="147">
        <v>500000</v>
      </c>
      <c r="G35" s="147"/>
      <c r="H35" s="147"/>
      <c r="I35" s="147"/>
      <c r="J35" s="147"/>
      <c r="K35" s="147"/>
      <c r="L35" s="147"/>
      <c r="M35" s="147"/>
      <c r="N35" s="147"/>
      <c r="O35" s="147"/>
      <c r="P35" s="147"/>
      <c r="Q35" s="147"/>
      <c r="R35" s="516">
        <f t="shared" si="7"/>
        <v>500000</v>
      </c>
      <c r="S35" s="147">
        <v>500000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2672</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36000000</v>
      </c>
      <c r="C38" s="146">
        <f>SUM(C29:C37)</f>
        <v>36000000</v>
      </c>
      <c r="D38" s="146">
        <f t="shared" ref="D38:Q38" si="8">SUM(D29:D37)</f>
        <v>0</v>
      </c>
      <c r="E38" s="146">
        <f t="shared" si="8"/>
        <v>0</v>
      </c>
      <c r="F38" s="146">
        <f t="shared" si="8"/>
        <v>36000000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36000000</v>
      </c>
      <c r="S38" s="150">
        <f>SUM(S29:S37)</f>
        <v>35504000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1100000</v>
      </c>
      <c r="C40" s="147">
        <v>1100000</v>
      </c>
      <c r="D40" s="147"/>
      <c r="E40" s="147">
        <v>1100000</v>
      </c>
      <c r="F40" s="147"/>
      <c r="G40" s="147"/>
      <c r="H40" s="147"/>
      <c r="I40" s="147"/>
      <c r="J40" s="147"/>
      <c r="K40" s="147"/>
      <c r="L40" s="147"/>
      <c r="M40" s="147"/>
      <c r="N40" s="147"/>
      <c r="O40" s="147"/>
      <c r="P40" s="147"/>
      <c r="Q40" s="147"/>
      <c r="R40" s="516">
        <f>SUM(E40:Q40)</f>
        <v>1100000</v>
      </c>
      <c r="S40" s="147">
        <v>1100000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1100000</v>
      </c>
      <c r="C42" s="146">
        <f>SUM(C39:C41)</f>
        <v>1100000</v>
      </c>
      <c r="D42" s="146">
        <f>SUM(D39:D41)</f>
        <v>0</v>
      </c>
      <c r="E42" s="146">
        <f t="shared" ref="E42:T42" si="9">SUM(E40:E41)</f>
        <v>1100000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1100000</v>
      </c>
      <c r="S42" s="150">
        <f t="shared" si="9"/>
        <v>1100000</v>
      </c>
      <c r="T42" s="150">
        <f t="shared" si="9"/>
        <v>0</v>
      </c>
      <c r="U42" s="143"/>
    </row>
    <row r="43" spans="1:21" s="144" customFormat="1">
      <c r="A43" s="149" t="s">
        <v>148</v>
      </c>
      <c r="B43" s="146">
        <f>SUM(C43:D43)</f>
        <v>1100000</v>
      </c>
      <c r="C43" s="147">
        <v>1100000</v>
      </c>
      <c r="D43" s="147"/>
      <c r="E43" s="147">
        <v>1100000</v>
      </c>
      <c r="F43" s="147"/>
      <c r="G43" s="147"/>
      <c r="H43" s="147"/>
      <c r="I43" s="147"/>
      <c r="J43" s="147"/>
      <c r="K43" s="147"/>
      <c r="L43" s="147"/>
      <c r="M43" s="147"/>
      <c r="N43" s="147"/>
      <c r="O43" s="147"/>
      <c r="P43" s="147"/>
      <c r="Q43" s="147"/>
      <c r="R43" s="516">
        <f>SUM(E43:Q43)</f>
        <v>1100000</v>
      </c>
      <c r="S43" s="147">
        <v>1100000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49" si="10">SUM(C45+D45)</f>
        <v>7033400</v>
      </c>
      <c r="C45" s="147">
        <v>7033400</v>
      </c>
      <c r="D45" s="147"/>
      <c r="E45" s="147">
        <v>5200000</v>
      </c>
      <c r="F45" s="147"/>
      <c r="G45" s="147">
        <v>1833400</v>
      </c>
      <c r="H45" s="147"/>
      <c r="I45" s="147"/>
      <c r="J45" s="147"/>
      <c r="K45" s="147"/>
      <c r="L45" s="147"/>
      <c r="M45" s="147"/>
      <c r="N45" s="147"/>
      <c r="O45" s="147"/>
      <c r="P45" s="147"/>
      <c r="Q45" s="147"/>
      <c r="R45" s="516">
        <f t="shared" ref="R45:R53" si="11">SUM(E45:Q45)</f>
        <v>7033400</v>
      </c>
      <c r="S45" s="147">
        <v>5200000</v>
      </c>
      <c r="T45" s="147"/>
      <c r="U45" s="143"/>
    </row>
    <row r="46" spans="1:21" s="144" customFormat="1">
      <c r="A46" s="145" t="s">
        <v>151</v>
      </c>
      <c r="B46" s="146">
        <f t="shared" si="10"/>
        <v>624300</v>
      </c>
      <c r="C46" s="147">
        <v>624300</v>
      </c>
      <c r="D46" s="147"/>
      <c r="E46" s="147">
        <v>624300</v>
      </c>
      <c r="F46" s="147"/>
      <c r="G46" s="147"/>
      <c r="H46" s="147"/>
      <c r="I46" s="147"/>
      <c r="J46" s="147"/>
      <c r="K46" s="147"/>
      <c r="L46" s="147"/>
      <c r="M46" s="147"/>
      <c r="N46" s="147"/>
      <c r="O46" s="147"/>
      <c r="P46" s="147"/>
      <c r="Q46" s="147"/>
      <c r="R46" s="516">
        <f t="shared" si="11"/>
        <v>624300</v>
      </c>
      <c r="S46" s="147">
        <v>164441</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SUM(C50+D50)</f>
        <v>200000</v>
      </c>
      <c r="C50" s="147">
        <v>200000</v>
      </c>
      <c r="D50" s="147"/>
      <c r="E50" s="147">
        <v>200000</v>
      </c>
      <c r="F50" s="147"/>
      <c r="G50" s="147"/>
      <c r="H50" s="147"/>
      <c r="I50" s="147"/>
      <c r="J50" s="147"/>
      <c r="K50" s="147"/>
      <c r="L50" s="147"/>
      <c r="M50" s="147"/>
      <c r="N50" s="147"/>
      <c r="O50" s="147"/>
      <c r="P50" s="147"/>
      <c r="Q50" s="147"/>
      <c r="R50" s="516">
        <f t="shared" si="11"/>
        <v>200000</v>
      </c>
      <c r="S50" s="147">
        <v>200000</v>
      </c>
      <c r="T50" s="147"/>
      <c r="U50" s="143"/>
    </row>
    <row r="51" spans="1:21" s="144" customFormat="1">
      <c r="A51" s="283" t="s">
        <v>154</v>
      </c>
      <c r="B51" s="146">
        <f>SUM(C51+D51)</f>
        <v>75000</v>
      </c>
      <c r="C51" s="147">
        <v>75000</v>
      </c>
      <c r="D51" s="147"/>
      <c r="E51" s="147">
        <v>75000</v>
      </c>
      <c r="F51" s="147"/>
      <c r="G51" s="147"/>
      <c r="H51" s="147"/>
      <c r="I51" s="147"/>
      <c r="J51" s="147"/>
      <c r="K51" s="147"/>
      <c r="L51" s="147"/>
      <c r="M51" s="147"/>
      <c r="N51" s="147"/>
      <c r="O51" s="147"/>
      <c r="P51" s="147"/>
      <c r="Q51" s="147"/>
      <c r="R51" s="516">
        <f t="shared" si="11"/>
        <v>75000</v>
      </c>
      <c r="S51" s="147">
        <v>75000</v>
      </c>
      <c r="T51" s="147"/>
      <c r="U51" s="143"/>
    </row>
    <row r="52" spans="1:21" s="144" customFormat="1">
      <c r="A52" s="145" t="s">
        <v>155</v>
      </c>
      <c r="B52" s="146">
        <f>SUM(C52+D52)</f>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2720</v>
      </c>
      <c r="B53" s="146">
        <f>SUM(C53+D53)</f>
        <v>24000</v>
      </c>
      <c r="C53" s="147">
        <v>24000</v>
      </c>
      <c r="D53" s="147"/>
      <c r="E53" s="147">
        <v>24000</v>
      </c>
      <c r="F53" s="147"/>
      <c r="G53" s="147"/>
      <c r="H53" s="147"/>
      <c r="I53" s="147"/>
      <c r="J53" s="147"/>
      <c r="K53" s="147"/>
      <c r="L53" s="147"/>
      <c r="M53" s="147"/>
      <c r="N53" s="147"/>
      <c r="O53" s="147"/>
      <c r="P53" s="147"/>
      <c r="Q53" s="147"/>
      <c r="R53" s="516">
        <f t="shared" si="11"/>
        <v>24000</v>
      </c>
      <c r="S53" s="147">
        <v>24000</v>
      </c>
      <c r="T53" s="147"/>
      <c r="U53" s="143"/>
    </row>
    <row r="54" spans="1:21" s="153" customFormat="1">
      <c r="A54" s="149" t="s">
        <v>157</v>
      </c>
      <c r="B54" s="150">
        <f>SUM(C54:D54)</f>
        <v>7956700</v>
      </c>
      <c r="C54" s="150">
        <f>SUM(C45:C53)</f>
        <v>7956700</v>
      </c>
      <c r="D54" s="150">
        <f t="shared" ref="D54:T54" si="12">SUM(D45:D53)</f>
        <v>0</v>
      </c>
      <c r="E54" s="150">
        <f t="shared" si="12"/>
        <v>6123300</v>
      </c>
      <c r="F54" s="150">
        <f t="shared" si="12"/>
        <v>0</v>
      </c>
      <c r="G54" s="150">
        <f t="shared" si="12"/>
        <v>1833400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7956700</v>
      </c>
      <c r="S54" s="150">
        <f t="shared" si="12"/>
        <v>5663441</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2684</v>
      </c>
      <c r="B61" s="146">
        <f t="shared" si="13"/>
        <v>154353</v>
      </c>
      <c r="C61" s="147">
        <v>154353</v>
      </c>
      <c r="D61" s="147"/>
      <c r="E61" s="147">
        <v>154353</v>
      </c>
      <c r="F61" s="147"/>
      <c r="G61" s="147"/>
      <c r="H61" s="147"/>
      <c r="I61" s="147"/>
      <c r="J61" s="147"/>
      <c r="K61" s="147"/>
      <c r="L61" s="147"/>
      <c r="M61" s="147"/>
      <c r="N61" s="147"/>
      <c r="O61" s="147"/>
      <c r="P61" s="147"/>
      <c r="Q61" s="147"/>
      <c r="R61" s="516">
        <f t="shared" si="14"/>
        <v>154353</v>
      </c>
      <c r="S61" s="148"/>
      <c r="T61" s="148"/>
      <c r="U61" s="143"/>
    </row>
    <row r="62" spans="1:21" s="144" customFormat="1" ht="13.75" customHeight="1">
      <c r="A62" s="149" t="s">
        <v>301</v>
      </c>
      <c r="B62" s="146">
        <f>SUM(C62:D62)</f>
        <v>154353</v>
      </c>
      <c r="C62" s="146">
        <f t="shared" ref="C62:R62" si="15">SUM(C56:C61)</f>
        <v>154353</v>
      </c>
      <c r="D62" s="146">
        <f t="shared" si="15"/>
        <v>0</v>
      </c>
      <c r="E62" s="146">
        <f t="shared" si="15"/>
        <v>154353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154353</v>
      </c>
      <c r="S62" s="148"/>
      <c r="T62" s="148"/>
      <c r="U62" s="143"/>
    </row>
    <row r="63" spans="1:21" s="144" customFormat="1">
      <c r="A63" s="154" t="s">
        <v>302</v>
      </c>
      <c r="B63" s="146">
        <f t="shared" ref="B63:R63" si="16">SUM(B8+B11+B13+B14+B15+B26+B27+B38+B42+B43+B54+B62)</f>
        <v>67311053</v>
      </c>
      <c r="C63" s="146">
        <f t="shared" si="16"/>
        <v>67311053</v>
      </c>
      <c r="D63" s="146">
        <f t="shared" si="16"/>
        <v>0</v>
      </c>
      <c r="E63" s="146">
        <f t="shared" si="16"/>
        <v>20558346</v>
      </c>
      <c r="F63" s="146">
        <f t="shared" si="16"/>
        <v>44919307</v>
      </c>
      <c r="G63" s="146">
        <f t="shared" si="16"/>
        <v>1833400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67311053</v>
      </c>
      <c r="S63" s="146">
        <f>SUM(S10+S13+S14+S15+S26+S27+S38+S42+S43+S54)</f>
        <v>43367441</v>
      </c>
      <c r="T63" s="146">
        <f>SUM(T11+T13+T14+T15+T26+T27+T38+T42+T43+T54)</f>
        <v>20000000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9" t="s">
        <v>2671</v>
      </c>
      <c r="B69" s="146">
        <f>SUM(C69+D69)</f>
        <v>129500</v>
      </c>
      <c r="C69" s="147">
        <v>129500</v>
      </c>
      <c r="D69" s="147"/>
      <c r="E69" s="147">
        <v>129500</v>
      </c>
      <c r="F69" s="147"/>
      <c r="G69" s="147"/>
      <c r="H69" s="147"/>
      <c r="I69" s="147"/>
      <c r="J69" s="147"/>
      <c r="K69" s="147"/>
      <c r="L69" s="147"/>
      <c r="M69" s="147"/>
      <c r="N69" s="147"/>
      <c r="O69" s="147"/>
      <c r="P69" s="147"/>
      <c r="Q69" s="147"/>
      <c r="R69" s="516">
        <f>SUM(E69:Q69)</f>
        <v>129500</v>
      </c>
      <c r="S69" s="147">
        <v>80000</v>
      </c>
      <c r="T69" s="147"/>
      <c r="U69" s="143"/>
    </row>
    <row r="70" spans="1:21" s="144" customFormat="1">
      <c r="A70" s="149" t="s">
        <v>1645</v>
      </c>
      <c r="B70" s="146">
        <f>SUM(C70:D70)</f>
        <v>189500</v>
      </c>
      <c r="C70" s="146">
        <f>SUM(C65:C69)</f>
        <v>189500</v>
      </c>
      <c r="D70" s="146">
        <f>SUM(D65:D69)</f>
        <v>0</v>
      </c>
      <c r="E70" s="146">
        <f t="shared" ref="E70:T70" si="17">SUM(E65:E69)</f>
        <v>189500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189500</v>
      </c>
      <c r="S70" s="150">
        <f t="shared" si="17"/>
        <v>140000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1104837</v>
      </c>
      <c r="C75" s="147">
        <v>1104837</v>
      </c>
      <c r="D75" s="147"/>
      <c r="E75" s="147">
        <v>1104837</v>
      </c>
      <c r="F75" s="147"/>
      <c r="G75" s="147"/>
      <c r="H75" s="147"/>
      <c r="I75" s="147"/>
      <c r="J75" s="147"/>
      <c r="K75" s="147"/>
      <c r="L75" s="147"/>
      <c r="M75" s="147"/>
      <c r="N75" s="147"/>
      <c r="O75" s="147"/>
      <c r="P75" s="147"/>
      <c r="Q75" s="147"/>
      <c r="R75" s="516">
        <f>SUM(E75:Q75)</f>
        <v>1104837</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1104837</v>
      </c>
      <c r="C77" s="146">
        <f>SUM(C72:C76)</f>
        <v>1104837</v>
      </c>
      <c r="D77" s="146">
        <f>SUM(D72:D76)</f>
        <v>0</v>
      </c>
      <c r="E77" s="146">
        <f t="shared" ref="E77:Q77" si="18">SUM(E72:E76)</f>
        <v>1104837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1104837</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3500000</v>
      </c>
      <c r="C79" s="147">
        <v>3500000</v>
      </c>
      <c r="D79" s="147"/>
      <c r="E79" s="147">
        <v>1523542</v>
      </c>
      <c r="F79" s="147"/>
      <c r="G79" s="147">
        <v>1976458</v>
      </c>
      <c r="H79" s="147"/>
      <c r="I79" s="147"/>
      <c r="J79" s="147"/>
      <c r="K79" s="147"/>
      <c r="L79" s="147"/>
      <c r="M79" s="147"/>
      <c r="N79" s="147"/>
      <c r="O79" s="147"/>
      <c r="P79" s="147"/>
      <c r="Q79" s="147"/>
      <c r="R79" s="516">
        <f>SUM(E79:Q79)</f>
        <v>3500000</v>
      </c>
      <c r="S79" s="147">
        <v>3500000</v>
      </c>
      <c r="T79" s="147"/>
      <c r="U79" s="143"/>
    </row>
    <row r="80" spans="1:21" s="144" customFormat="1">
      <c r="A80" s="283" t="s">
        <v>58</v>
      </c>
      <c r="B80" s="146">
        <f>SUM(C80:D80)</f>
        <v>125000</v>
      </c>
      <c r="C80" s="147">
        <v>125000</v>
      </c>
      <c r="D80" s="147"/>
      <c r="E80" s="147">
        <v>125000</v>
      </c>
      <c r="F80" s="147"/>
      <c r="G80" s="147"/>
      <c r="H80" s="147"/>
      <c r="I80" s="147"/>
      <c r="J80" s="147"/>
      <c r="K80" s="147"/>
      <c r="L80" s="147"/>
      <c r="M80" s="147"/>
      <c r="N80" s="147"/>
      <c r="O80" s="147"/>
      <c r="P80" s="147"/>
      <c r="Q80" s="147"/>
      <c r="R80" s="516">
        <f>SUM(E80:Q80)</f>
        <v>125000</v>
      </c>
      <c r="S80" s="147">
        <v>125000</v>
      </c>
      <c r="T80" s="147"/>
      <c r="U80" s="143"/>
    </row>
    <row r="81" spans="1:21" s="144" customFormat="1">
      <c r="A81" s="149" t="s">
        <v>1209</v>
      </c>
      <c r="B81" s="146">
        <f>SUM(C81:D81)</f>
        <v>3625000</v>
      </c>
      <c r="C81" s="509">
        <f>SUM(C79:C80)</f>
        <v>3625000</v>
      </c>
      <c r="D81" s="509">
        <f t="shared" ref="D81:T81" si="19">SUM(D79:D80)</f>
        <v>0</v>
      </c>
      <c r="E81" s="509">
        <f t="shared" si="19"/>
        <v>1648542</v>
      </c>
      <c r="F81" s="509">
        <f t="shared" si="19"/>
        <v>0</v>
      </c>
      <c r="G81" s="509">
        <f t="shared" si="19"/>
        <v>1976458</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3625000</v>
      </c>
      <c r="S81" s="509">
        <f t="shared" si="19"/>
        <v>3625000</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125918</v>
      </c>
      <c r="C83" s="147">
        <v>125918</v>
      </c>
      <c r="D83" s="147"/>
      <c r="E83" s="147">
        <v>125918</v>
      </c>
      <c r="F83" s="147"/>
      <c r="G83" s="147"/>
      <c r="H83" s="147"/>
      <c r="I83" s="147"/>
      <c r="J83" s="147"/>
      <c r="K83" s="147"/>
      <c r="L83" s="147"/>
      <c r="M83" s="147"/>
      <c r="N83" s="147"/>
      <c r="O83" s="147"/>
      <c r="P83" s="147"/>
      <c r="Q83" s="147"/>
      <c r="R83" s="516">
        <f t="shared" ref="R83:R95" si="21">SUM(E83:Q83)</f>
        <v>125918</v>
      </c>
      <c r="S83" s="148"/>
      <c r="T83" s="148"/>
      <c r="U83" s="143"/>
    </row>
    <row r="84" spans="1:21" s="144" customFormat="1">
      <c r="A84" s="145" t="s">
        <v>767</v>
      </c>
      <c r="B84" s="146">
        <f t="shared" si="20"/>
        <v>48500</v>
      </c>
      <c r="C84" s="147">
        <v>48500</v>
      </c>
      <c r="D84" s="147"/>
      <c r="E84" s="147">
        <v>48500</v>
      </c>
      <c r="F84" s="147"/>
      <c r="G84" s="147"/>
      <c r="H84" s="147"/>
      <c r="I84" s="147"/>
      <c r="J84" s="147"/>
      <c r="K84" s="147"/>
      <c r="L84" s="147"/>
      <c r="M84" s="147"/>
      <c r="N84" s="147"/>
      <c r="O84" s="147"/>
      <c r="P84" s="147"/>
      <c r="Q84" s="147"/>
      <c r="R84" s="516">
        <f t="shared" si="21"/>
        <v>48500</v>
      </c>
      <c r="S84" s="147">
        <v>48500</v>
      </c>
      <c r="T84" s="147"/>
      <c r="U84" s="143"/>
    </row>
    <row r="85" spans="1:21" s="144" customFormat="1">
      <c r="A85" s="145" t="s">
        <v>768</v>
      </c>
      <c r="B85" s="146">
        <f t="shared" si="20"/>
        <v>1206061</v>
      </c>
      <c r="C85" s="147">
        <v>1206061</v>
      </c>
      <c r="D85" s="147"/>
      <c r="E85" s="147">
        <v>1206061</v>
      </c>
      <c r="F85" s="147"/>
      <c r="G85" s="147"/>
      <c r="H85" s="147"/>
      <c r="I85" s="147"/>
      <c r="J85" s="147"/>
      <c r="K85" s="147"/>
      <c r="L85" s="147"/>
      <c r="M85" s="147"/>
      <c r="N85" s="147"/>
      <c r="O85" s="147"/>
      <c r="P85" s="147"/>
      <c r="Q85" s="147"/>
      <c r="R85" s="516">
        <f t="shared" si="21"/>
        <v>1206061</v>
      </c>
      <c r="S85" s="147">
        <v>1206061</v>
      </c>
      <c r="T85" s="147"/>
      <c r="U85" s="143"/>
    </row>
    <row r="86" spans="1:21" s="144" customFormat="1">
      <c r="A86" s="145" t="s">
        <v>769</v>
      </c>
      <c r="B86" s="146">
        <f t="shared" si="20"/>
        <v>5043939</v>
      </c>
      <c r="C86" s="147">
        <v>5043939</v>
      </c>
      <c r="D86" s="147"/>
      <c r="E86" s="147">
        <v>5043939</v>
      </c>
      <c r="F86" s="147"/>
      <c r="G86" s="147"/>
      <c r="H86" s="147"/>
      <c r="I86" s="147"/>
      <c r="J86" s="147"/>
      <c r="K86" s="147"/>
      <c r="L86" s="147"/>
      <c r="M86" s="147"/>
      <c r="N86" s="147"/>
      <c r="O86" s="147"/>
      <c r="P86" s="147"/>
      <c r="Q86" s="147"/>
      <c r="R86" s="516">
        <f t="shared" si="21"/>
        <v>5043939</v>
      </c>
      <c r="S86" s="147">
        <v>5043939</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445980</v>
      </c>
      <c r="C88" s="147">
        <v>445980</v>
      </c>
      <c r="D88" s="147"/>
      <c r="E88" s="147">
        <v>445980</v>
      </c>
      <c r="F88" s="147"/>
      <c r="G88" s="147"/>
      <c r="H88" s="147"/>
      <c r="I88" s="147"/>
      <c r="J88" s="147"/>
      <c r="K88" s="147"/>
      <c r="L88" s="147"/>
      <c r="M88" s="147"/>
      <c r="N88" s="147"/>
      <c r="O88" s="147"/>
      <c r="P88" s="147"/>
      <c r="Q88" s="147"/>
      <c r="R88" s="516">
        <f t="shared" si="21"/>
        <v>445980</v>
      </c>
      <c r="S88" s="148"/>
      <c r="T88" s="148"/>
      <c r="U88" s="143"/>
    </row>
    <row r="89" spans="1:21" s="144" customFormat="1">
      <c r="A89" s="145" t="s">
        <v>772</v>
      </c>
      <c r="B89" s="146">
        <f t="shared" si="20"/>
        <v>550000</v>
      </c>
      <c r="C89" s="147">
        <v>550000</v>
      </c>
      <c r="D89" s="147"/>
      <c r="E89" s="147">
        <v>550000</v>
      </c>
      <c r="F89" s="147"/>
      <c r="G89" s="147"/>
      <c r="H89" s="147"/>
      <c r="I89" s="147"/>
      <c r="J89" s="147"/>
      <c r="K89" s="147"/>
      <c r="L89" s="147"/>
      <c r="M89" s="147"/>
      <c r="N89" s="147"/>
      <c r="O89" s="147"/>
      <c r="P89" s="147"/>
      <c r="Q89" s="147"/>
      <c r="R89" s="516">
        <f t="shared" si="21"/>
        <v>550000</v>
      </c>
      <c r="S89" s="147">
        <v>550000</v>
      </c>
      <c r="T89" s="147"/>
      <c r="U89" s="143"/>
    </row>
    <row r="90" spans="1:21" s="144" customFormat="1">
      <c r="A90" s="145" t="s">
        <v>773</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110000</v>
      </c>
      <c r="C91" s="147">
        <v>110000</v>
      </c>
      <c r="D91" s="147"/>
      <c r="E91" s="147">
        <v>110000</v>
      </c>
      <c r="F91" s="147"/>
      <c r="G91" s="147"/>
      <c r="H91" s="147"/>
      <c r="I91" s="147"/>
      <c r="J91" s="147"/>
      <c r="K91" s="147"/>
      <c r="L91" s="147"/>
      <c r="M91" s="147"/>
      <c r="N91" s="147"/>
      <c r="O91" s="147"/>
      <c r="P91" s="147"/>
      <c r="Q91" s="147"/>
      <c r="R91" s="516">
        <f t="shared" si="21"/>
        <v>110000</v>
      </c>
      <c r="S91" s="147">
        <v>110000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9"/>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2649</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2650</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7550398</v>
      </c>
      <c r="C96" s="146">
        <f t="shared" ref="C96:R96" si="22">SUM(C83:C95)</f>
        <v>7550398</v>
      </c>
      <c r="D96" s="146">
        <f t="shared" si="22"/>
        <v>0</v>
      </c>
      <c r="E96" s="146">
        <f t="shared" si="22"/>
        <v>7550398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7550398</v>
      </c>
      <c r="S96" s="150">
        <f>SUM(S84:S87,S89:S95)</f>
        <v>6978500</v>
      </c>
      <c r="T96" s="146">
        <f>SUM(T84:T87,T89:T95)</f>
        <v>0</v>
      </c>
      <c r="U96" s="143"/>
    </row>
    <row r="97" spans="1:21" s="144" customFormat="1">
      <c r="A97" s="149" t="s">
        <v>775</v>
      </c>
      <c r="B97" s="146">
        <f>SUM(C97:D97)</f>
        <v>79780788</v>
      </c>
      <c r="C97" s="146">
        <f t="shared" ref="C97:R97" si="23">SUM(C63+C70+C77+C81+C96)</f>
        <v>79780788</v>
      </c>
      <c r="D97" s="146">
        <f t="shared" si="23"/>
        <v>0</v>
      </c>
      <c r="E97" s="146">
        <f t="shared" si="23"/>
        <v>31051623</v>
      </c>
      <c r="F97" s="146">
        <f t="shared" si="23"/>
        <v>44919307</v>
      </c>
      <c r="G97" s="146">
        <f t="shared" si="23"/>
        <v>3809858</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79780788</v>
      </c>
      <c r="S97" s="146">
        <f>SUM(S63+S70+S81+S96)</f>
        <v>54110941</v>
      </c>
      <c r="T97" s="146">
        <f>SUM(T63+T70+T81+T96)</f>
        <v>20000000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11116641</v>
      </c>
      <c r="C99" s="979">
        <v>11116641</v>
      </c>
      <c r="D99" s="979"/>
      <c r="E99" s="979">
        <v>2195049</v>
      </c>
      <c r="F99" s="147"/>
      <c r="G99" s="147"/>
      <c r="H99" s="147">
        <v>8921592</v>
      </c>
      <c r="I99" s="147"/>
      <c r="J99" s="147"/>
      <c r="K99" s="147"/>
      <c r="L99" s="147"/>
      <c r="M99" s="147"/>
      <c r="N99" s="147"/>
      <c r="O99" s="147"/>
      <c r="P99" s="147"/>
      <c r="Q99" s="147"/>
      <c r="R99" s="516">
        <f>SUM(E99:Q99)</f>
        <v>11116641</v>
      </c>
      <c r="S99" s="147">
        <v>8116641</v>
      </c>
      <c r="T99" s="147">
        <v>3000000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2651</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11116641</v>
      </c>
      <c r="C104" s="146">
        <f>SUM(C99:C103)</f>
        <v>11116641</v>
      </c>
      <c r="D104" s="146">
        <f t="shared" ref="D104:T104" si="24">SUM(D99:D103)</f>
        <v>0</v>
      </c>
      <c r="E104" s="146">
        <f t="shared" si="24"/>
        <v>2195049</v>
      </c>
      <c r="F104" s="146">
        <f t="shared" si="24"/>
        <v>0</v>
      </c>
      <c r="G104" s="146">
        <f t="shared" si="24"/>
        <v>0</v>
      </c>
      <c r="H104" s="146">
        <f t="shared" si="24"/>
        <v>8921592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11116641</v>
      </c>
      <c r="S104" s="150">
        <f t="shared" si="24"/>
        <v>8116641</v>
      </c>
      <c r="T104" s="150">
        <f t="shared" si="24"/>
        <v>3000000</v>
      </c>
      <c r="U104" s="143"/>
    </row>
    <row r="105" spans="1:21" s="144" customFormat="1">
      <c r="A105" s="149" t="s">
        <v>780</v>
      </c>
      <c r="B105" s="150">
        <f>SUM(C105:D105)</f>
        <v>90897429</v>
      </c>
      <c r="C105" s="150">
        <f t="shared" ref="C105:R105" si="25">SUM(C97+C104)</f>
        <v>90897429</v>
      </c>
      <c r="D105" s="150">
        <f t="shared" si="25"/>
        <v>0</v>
      </c>
      <c r="E105" s="150">
        <f t="shared" si="25"/>
        <v>33246672</v>
      </c>
      <c r="F105" s="150">
        <f t="shared" si="25"/>
        <v>44919307</v>
      </c>
      <c r="G105" s="150">
        <f t="shared" si="25"/>
        <v>3809858</v>
      </c>
      <c r="H105" s="150">
        <f t="shared" si="25"/>
        <v>8921592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90897429</v>
      </c>
      <c r="S105" s="150">
        <f>S97+S104</f>
        <v>62227582</v>
      </c>
      <c r="T105" s="150">
        <f>T97+T104</f>
        <v>23000000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62227582</v>
      </c>
      <c r="T107" s="150">
        <f>T105+T106</f>
        <v>23000000</v>
      </c>
    </row>
    <row r="108" spans="1:21" s="189" customFormat="1">
      <c r="A108" s="162" t="s">
        <v>879</v>
      </c>
      <c r="B108" s="157"/>
      <c r="C108" s="157"/>
      <c r="D108" s="157"/>
      <c r="E108" s="301">
        <f>Application!AO640</f>
        <v>33246672</v>
      </c>
      <c r="F108" s="301">
        <f>Application!AO627</f>
        <v>44919307</v>
      </c>
      <c r="G108" s="301">
        <f>Application!AO628</f>
        <v>3809858</v>
      </c>
      <c r="H108" s="301">
        <f>Application!AO629</f>
        <v>8921592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552"/>
      <c r="F123" s="1552"/>
      <c r="G123" s="1552"/>
      <c r="H123" s="1552"/>
      <c r="I123" s="1552"/>
      <c r="J123" s="1552"/>
      <c r="K123" s="1552"/>
      <c r="L123" s="1552"/>
      <c r="M123" s="1552"/>
      <c r="N123" s="1552"/>
      <c r="O123" s="1552"/>
      <c r="P123" s="1552"/>
      <c r="Q123" s="1552"/>
      <c r="R123" s="1552"/>
      <c r="S123" s="1552"/>
      <c r="T123" s="324"/>
      <c r="U123" s="326"/>
    </row>
    <row r="124" spans="1:21" ht="12.5">
      <c r="A124" s="117" t="s">
        <v>992</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5">
      <c r="A125" s="117" t="s">
        <v>993</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3">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8" t="s">
        <v>1227</v>
      </c>
      <c r="B1" s="1879"/>
      <c r="C1" s="1879"/>
      <c r="D1" s="1879"/>
      <c r="E1" s="1879"/>
      <c r="F1" s="1879"/>
      <c r="G1" s="1879"/>
      <c r="H1" s="1879"/>
      <c r="I1" s="1879"/>
      <c r="J1" s="1880"/>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1000000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1000000</v>
      </c>
      <c r="C8" s="361">
        <f>SUM(C4:C7)</f>
        <v>0</v>
      </c>
      <c r="D8" s="361">
        <f>SUM(D4:D7)</f>
        <v>0</v>
      </c>
      <c r="E8" s="363"/>
      <c r="F8" s="363"/>
      <c r="G8" s="363"/>
      <c r="H8" s="363"/>
      <c r="I8" s="363"/>
      <c r="J8" s="363"/>
      <c r="K8" s="359"/>
    </row>
    <row r="9" spans="1:11" s="360" customFormat="1">
      <c r="A9" s="364" t="s">
        <v>594</v>
      </c>
      <c r="B9" s="361">
        <f>'Sources and Uses Budget'!C9</f>
        <v>20000000</v>
      </c>
      <c r="C9" s="362"/>
      <c r="D9" s="362"/>
      <c r="E9" s="363"/>
      <c r="F9" s="363"/>
      <c r="G9" s="363"/>
      <c r="H9" s="361">
        <f>'Sources and Uses Budget'!T9</f>
        <v>20000000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20000000</v>
      </c>
      <c r="C11" s="361">
        <f>SUM(C9:C10)</f>
        <v>0</v>
      </c>
      <c r="D11" s="361">
        <f>SUM(D9:D10)</f>
        <v>0</v>
      </c>
      <c r="E11" s="363"/>
      <c r="F11" s="363"/>
      <c r="G11" s="363"/>
      <c r="H11" s="361">
        <f>'Sources and Uses Budget'!T11</f>
        <v>20000000</v>
      </c>
      <c r="I11" s="361">
        <f>SUM(I9:I10)</f>
        <v>0</v>
      </c>
      <c r="J11" s="361">
        <f>SUM(J9:J10)</f>
        <v>0</v>
      </c>
      <c r="K11" s="359"/>
    </row>
    <row r="12" spans="1:11" s="360" customFormat="1">
      <c r="A12" s="365" t="s">
        <v>84</v>
      </c>
      <c r="B12" s="361">
        <f>'Sources and Uses Budget'!C12</f>
        <v>21000000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30701755</v>
      </c>
      <c r="C30" s="362"/>
      <c r="D30" s="362"/>
      <c r="E30" s="361">
        <f>'Sources and Uses Budget'!S30</f>
        <v>30266668</v>
      </c>
      <c r="F30" s="362"/>
      <c r="G30" s="362"/>
      <c r="H30" s="361">
        <f>'Sources and Uses Budget'!T30</f>
        <v>0</v>
      </c>
      <c r="I30" s="362"/>
      <c r="J30" s="362"/>
      <c r="K30" s="359"/>
    </row>
    <row r="31" spans="1:11" s="360" customFormat="1">
      <c r="A31" s="145" t="s">
        <v>600</v>
      </c>
      <c r="B31" s="361">
        <f>'Sources and Uses Budget'!C31</f>
        <v>1842105</v>
      </c>
      <c r="C31" s="362"/>
      <c r="D31" s="362"/>
      <c r="E31" s="361">
        <f>'Sources and Uses Budget'!S31</f>
        <v>1816000</v>
      </c>
      <c r="F31" s="362"/>
      <c r="G31" s="362"/>
      <c r="H31" s="361">
        <f>'Sources and Uses Budget'!T31</f>
        <v>0</v>
      </c>
      <c r="I31" s="362"/>
      <c r="J31" s="362"/>
      <c r="K31" s="359"/>
    </row>
    <row r="32" spans="1:11" s="360" customFormat="1">
      <c r="A32" s="145" t="s">
        <v>137</v>
      </c>
      <c r="B32" s="361">
        <f>'Sources and Uses Budget'!C32</f>
        <v>614035</v>
      </c>
      <c r="C32" s="362"/>
      <c r="D32" s="362"/>
      <c r="E32" s="361">
        <f>'Sources and Uses Budget'!S32</f>
        <v>605332</v>
      </c>
      <c r="F32" s="362"/>
      <c r="G32" s="362"/>
      <c r="H32" s="361">
        <f>'Sources and Uses Budget'!T32</f>
        <v>0</v>
      </c>
      <c r="I32" s="362"/>
      <c r="J32" s="362"/>
      <c r="K32" s="359"/>
    </row>
    <row r="33" spans="1:11" s="360" customFormat="1">
      <c r="A33" s="145" t="s">
        <v>138</v>
      </c>
      <c r="B33" s="361">
        <f>'Sources and Uses Budget'!C33</f>
        <v>1842105</v>
      </c>
      <c r="C33" s="362"/>
      <c r="D33" s="362"/>
      <c r="E33" s="361">
        <f>'Sources and Uses Budget'!S33</f>
        <v>1816000</v>
      </c>
      <c r="F33" s="362"/>
      <c r="G33" s="362"/>
      <c r="H33" s="361">
        <f>'Sources and Uses Budget'!T33</f>
        <v>0</v>
      </c>
      <c r="I33" s="362"/>
      <c r="J33" s="362"/>
      <c r="K33" s="359"/>
    </row>
    <row r="34" spans="1:11" s="360" customFormat="1">
      <c r="A34" s="145" t="s">
        <v>139</v>
      </c>
      <c r="B34" s="361">
        <f>'Sources and Uses Budget'!C34</f>
        <v>500000</v>
      </c>
      <c r="C34" s="362"/>
      <c r="D34" s="362"/>
      <c r="E34" s="361">
        <f>'Sources and Uses Budget'!S34</f>
        <v>500000</v>
      </c>
      <c r="F34" s="362"/>
      <c r="G34" s="362"/>
      <c r="H34" s="361">
        <f>'Sources and Uses Budget'!T34</f>
        <v>0</v>
      </c>
      <c r="I34" s="362"/>
      <c r="J34" s="362"/>
      <c r="K34" s="359"/>
    </row>
    <row r="35" spans="1:11" s="360" customFormat="1">
      <c r="A35" s="145" t="s">
        <v>140</v>
      </c>
      <c r="B35" s="361">
        <f>'Sources and Uses Budget'!C35</f>
        <v>500000</v>
      </c>
      <c r="C35" s="362"/>
      <c r="D35" s="362"/>
      <c r="E35" s="361">
        <f>'Sources and Uses Budget'!S35</f>
        <v>500000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23">
      <c r="A37" s="364" t="str">
        <f>'Sources and Uses Budget'!$A37</f>
        <v>Other: Organization &amp; Construction Accounting</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36000000</v>
      </c>
      <c r="C38" s="361">
        <f>SUM(C29:C37)</f>
        <v>0</v>
      </c>
      <c r="D38" s="361">
        <f>SUM(D29:D37)</f>
        <v>0</v>
      </c>
      <c r="E38" s="361">
        <f>'Sources and Uses Budget'!S38</f>
        <v>35504000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1100000</v>
      </c>
      <c r="C40" s="362"/>
      <c r="D40" s="362"/>
      <c r="E40" s="361">
        <f>'Sources and Uses Budget'!S40</f>
        <v>1100000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1100000</v>
      </c>
      <c r="C42" s="361">
        <f>SUM(C39:C41)</f>
        <v>0</v>
      </c>
      <c r="D42" s="361">
        <f>SUM(D39:D41)</f>
        <v>0</v>
      </c>
      <c r="E42" s="361">
        <f>'Sources and Uses Budget'!S42</f>
        <v>1100000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1100000</v>
      </c>
      <c r="C43" s="362"/>
      <c r="D43" s="362"/>
      <c r="E43" s="361">
        <f>'Sources and Uses Budget'!S43</f>
        <v>1100000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7033400</v>
      </c>
      <c r="C45" s="362"/>
      <c r="D45" s="362"/>
      <c r="E45" s="361">
        <f>'Sources and Uses Budget'!S45</f>
        <v>5200000</v>
      </c>
      <c r="F45" s="362"/>
      <c r="G45" s="362"/>
      <c r="H45" s="361">
        <f>'Sources and Uses Budget'!T45</f>
        <v>0</v>
      </c>
      <c r="I45" s="362"/>
      <c r="J45" s="362"/>
      <c r="K45" s="359"/>
    </row>
    <row r="46" spans="1:11" s="360" customFormat="1">
      <c r="A46" s="364" t="s">
        <v>151</v>
      </c>
      <c r="B46" s="361">
        <f>'Sources and Uses Budget'!C46</f>
        <v>624300</v>
      </c>
      <c r="C46" s="362"/>
      <c r="D46" s="362"/>
      <c r="E46" s="361">
        <f>'Sources and Uses Budget'!S46</f>
        <v>164441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200000</v>
      </c>
      <c r="C50" s="362"/>
      <c r="D50" s="362"/>
      <c r="E50" s="361">
        <f>'Sources and Uses Budget'!S50</f>
        <v>200000</v>
      </c>
      <c r="F50" s="362"/>
      <c r="G50" s="362"/>
      <c r="H50" s="361">
        <f>'Sources and Uses Budget'!T50</f>
        <v>0</v>
      </c>
      <c r="I50" s="362"/>
      <c r="J50" s="362"/>
      <c r="K50" s="359"/>
    </row>
    <row r="51" spans="1:11" s="360" customFormat="1">
      <c r="A51" s="364" t="s">
        <v>154</v>
      </c>
      <c r="B51" s="361">
        <f>'Sources and Uses Budget'!C51</f>
        <v>75000</v>
      </c>
      <c r="C51" s="362"/>
      <c r="D51" s="362"/>
      <c r="E51" s="361">
        <f>'Sources and Uses Budget'!S51</f>
        <v>75000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Inspections</v>
      </c>
      <c r="B53" s="361">
        <f>'Sources and Uses Budget'!C53</f>
        <v>24000</v>
      </c>
      <c r="C53" s="362"/>
      <c r="D53" s="362"/>
      <c r="E53" s="361">
        <f>'Sources and Uses Budget'!S53</f>
        <v>24000</v>
      </c>
      <c r="F53" s="362"/>
      <c r="G53" s="362"/>
      <c r="H53" s="361">
        <f>'Sources and Uses Budget'!T53</f>
        <v>0</v>
      </c>
      <c r="I53" s="362"/>
      <c r="J53" s="362"/>
      <c r="K53" s="359"/>
    </row>
    <row r="54" spans="1:11" s="369" customFormat="1">
      <c r="A54" s="365" t="s">
        <v>157</v>
      </c>
      <c r="B54" s="361">
        <f>'Sources and Uses Budget'!C54</f>
        <v>7956700</v>
      </c>
      <c r="C54" s="367">
        <f>SUM(C45:C53)</f>
        <v>0</v>
      </c>
      <c r="D54" s="367">
        <f>SUM(D45:D53)</f>
        <v>0</v>
      </c>
      <c r="E54" s="361">
        <f>'Sources and Uses Budget'!S54</f>
        <v>5663441</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Costs of Issuance</v>
      </c>
      <c r="B61" s="361">
        <f>'Sources and Uses Budget'!C61</f>
        <v>154353</v>
      </c>
      <c r="C61" s="362"/>
      <c r="D61" s="362"/>
      <c r="E61" s="363"/>
      <c r="F61" s="363"/>
      <c r="G61" s="363"/>
      <c r="H61" s="363"/>
      <c r="I61" s="363"/>
      <c r="J61" s="363"/>
      <c r="K61" s="359"/>
    </row>
    <row r="62" spans="1:11" s="360" customFormat="1" ht="13.75" customHeight="1">
      <c r="A62" s="365" t="s">
        <v>301</v>
      </c>
      <c r="B62" s="361">
        <f>'Sources and Uses Budget'!C62</f>
        <v>154353</v>
      </c>
      <c r="C62" s="361">
        <f>SUM(C56:C61)</f>
        <v>0</v>
      </c>
      <c r="D62" s="361">
        <f>SUM(D56:D61)</f>
        <v>0</v>
      </c>
      <c r="E62" s="363"/>
      <c r="F62" s="363"/>
      <c r="G62" s="363"/>
      <c r="H62" s="363"/>
      <c r="I62" s="363"/>
      <c r="J62" s="363"/>
      <c r="K62" s="359"/>
    </row>
    <row r="63" spans="1:11" s="360" customFormat="1">
      <c r="A63" s="370" t="s">
        <v>302</v>
      </c>
      <c r="B63" s="361">
        <f>'Sources and Uses Budget'!C63</f>
        <v>67311053</v>
      </c>
      <c r="C63" s="361">
        <f>SUM(C8+C11+C13+C14+C15+C26+C27+C38+C42+C43+C54+C62)</f>
        <v>0</v>
      </c>
      <c r="D63" s="361">
        <f>SUM(D8+D11+D13+D14+D15+D26+D27+D38+D42+D43+D54+D62)</f>
        <v>0</v>
      </c>
      <c r="E63" s="361">
        <f>'Sources and Uses Budget'!S63</f>
        <v>43367441</v>
      </c>
      <c r="F63" s="361">
        <f>SUM(F10+F13+F14+F15+F26+F27+F38+F42+F43+F54)</f>
        <v>0</v>
      </c>
      <c r="G63" s="361">
        <f>SUM(G10+G13+G14+G15+G26+G27+G38+G42+G43+G54)</f>
        <v>0</v>
      </c>
      <c r="H63" s="361">
        <f>'Sources and Uses Budget'!T63</f>
        <v>20000000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Other:Borrower Counsel + Hearthstone Fees / Attorney</v>
      </c>
      <c r="B69" s="361">
        <f>'Sources and Uses Budget'!C69</f>
        <v>129500</v>
      </c>
      <c r="C69" s="362"/>
      <c r="D69" s="362"/>
      <c r="E69" s="361">
        <f>'Sources and Uses Budget'!S69</f>
        <v>80000</v>
      </c>
      <c r="F69" s="362"/>
      <c r="G69" s="362"/>
      <c r="H69" s="361">
        <f>'Sources and Uses Budget'!T69</f>
        <v>0</v>
      </c>
      <c r="I69" s="362"/>
      <c r="J69" s="362"/>
      <c r="K69" s="359"/>
    </row>
    <row r="70" spans="1:11" s="360" customFormat="1">
      <c r="A70" s="365" t="s">
        <v>601</v>
      </c>
      <c r="B70" s="361">
        <f>'Sources and Uses Budget'!C70</f>
        <v>189500</v>
      </c>
      <c r="C70" s="361">
        <f>SUM(C64:C69)</f>
        <v>0</v>
      </c>
      <c r="D70" s="361">
        <f>SUM(D64:D69)</f>
        <v>0</v>
      </c>
      <c r="E70" s="361">
        <f>'Sources and Uses Budget'!S70</f>
        <v>140000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1104837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1104837</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3500000</v>
      </c>
      <c r="C79" s="362"/>
      <c r="D79" s="362"/>
      <c r="E79" s="361">
        <f>'Sources and Uses Budget'!S79</f>
        <v>3500000</v>
      </c>
      <c r="F79" s="362"/>
      <c r="G79" s="362"/>
      <c r="H79" s="361">
        <f>'Sources and Uses Budget'!T79</f>
        <v>0</v>
      </c>
      <c r="I79" s="362"/>
      <c r="J79" s="362"/>
      <c r="K79" s="359"/>
    </row>
    <row r="80" spans="1:11" s="360" customFormat="1">
      <c r="A80" s="364" t="s">
        <v>58</v>
      </c>
      <c r="B80" s="361">
        <f>'Sources and Uses Budget'!C80</f>
        <v>125000</v>
      </c>
      <c r="C80" s="362"/>
      <c r="D80" s="362"/>
      <c r="E80" s="361">
        <f>'Sources and Uses Budget'!S80</f>
        <v>125000</v>
      </c>
      <c r="F80" s="362"/>
      <c r="G80" s="362"/>
      <c r="H80" s="361">
        <f>'Sources and Uses Budget'!T80</f>
        <v>0</v>
      </c>
      <c r="I80" s="362"/>
      <c r="J80" s="362"/>
      <c r="K80" s="359"/>
    </row>
    <row r="81" spans="1:11" s="360" customFormat="1">
      <c r="A81" s="365" t="s">
        <v>1209</v>
      </c>
      <c r="B81" s="361">
        <f>'Sources and Uses Budget'!C81</f>
        <v>3625000</v>
      </c>
      <c r="C81" s="361">
        <f>SUM(C79:C80)</f>
        <v>0</v>
      </c>
      <c r="D81" s="361">
        <f>SUM(D79:D80)</f>
        <v>0</v>
      </c>
      <c r="E81" s="361">
        <f>'Sources and Uses Budget'!S81</f>
        <v>3625000</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125918</v>
      </c>
      <c r="C83" s="362"/>
      <c r="D83" s="362"/>
      <c r="E83" s="363"/>
      <c r="F83" s="363"/>
      <c r="G83" s="363"/>
      <c r="H83" s="363"/>
      <c r="I83" s="363"/>
      <c r="J83" s="363"/>
      <c r="K83" s="359"/>
    </row>
    <row r="84" spans="1:11" s="360" customFormat="1">
      <c r="A84" s="145" t="s">
        <v>767</v>
      </c>
      <c r="B84" s="361">
        <f>'Sources and Uses Budget'!C84</f>
        <v>48500</v>
      </c>
      <c r="C84" s="362"/>
      <c r="D84" s="362"/>
      <c r="E84" s="361">
        <f>'Sources and Uses Budget'!S84</f>
        <v>48500</v>
      </c>
      <c r="F84" s="362"/>
      <c r="G84" s="362"/>
      <c r="H84" s="361">
        <f>'Sources and Uses Budget'!T84</f>
        <v>0</v>
      </c>
      <c r="I84" s="362"/>
      <c r="J84" s="362"/>
      <c r="K84" s="359"/>
    </row>
    <row r="85" spans="1:11" s="360" customFormat="1">
      <c r="A85" s="145" t="s">
        <v>768</v>
      </c>
      <c r="B85" s="361">
        <f>'Sources and Uses Budget'!C85</f>
        <v>1206061</v>
      </c>
      <c r="C85" s="362"/>
      <c r="D85" s="362"/>
      <c r="E85" s="361">
        <f>'Sources and Uses Budget'!S85</f>
        <v>1206061</v>
      </c>
      <c r="F85" s="362"/>
      <c r="G85" s="362"/>
      <c r="H85" s="361">
        <f>'Sources and Uses Budget'!T85</f>
        <v>0</v>
      </c>
      <c r="I85" s="362"/>
      <c r="J85" s="362"/>
      <c r="K85" s="359"/>
    </row>
    <row r="86" spans="1:11" s="360" customFormat="1">
      <c r="A86" s="145" t="s">
        <v>769</v>
      </c>
      <c r="B86" s="361">
        <f>'Sources and Uses Budget'!C86</f>
        <v>5043939</v>
      </c>
      <c r="C86" s="362"/>
      <c r="D86" s="362"/>
      <c r="E86" s="361">
        <f>'Sources and Uses Budget'!S86</f>
        <v>5043939</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445980</v>
      </c>
      <c r="C88" s="362"/>
      <c r="D88" s="362"/>
      <c r="E88" s="363"/>
      <c r="F88" s="363"/>
      <c r="G88" s="363"/>
      <c r="H88" s="363"/>
      <c r="I88" s="363"/>
      <c r="J88" s="363"/>
      <c r="K88" s="359"/>
    </row>
    <row r="89" spans="1:11" s="360" customFormat="1">
      <c r="A89" s="145" t="s">
        <v>772</v>
      </c>
      <c r="B89" s="361">
        <f>'Sources and Uses Budget'!C89</f>
        <v>550000</v>
      </c>
      <c r="C89" s="362"/>
      <c r="D89" s="362"/>
      <c r="E89" s="361">
        <f>'Sources and Uses Budget'!S89</f>
        <v>550000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110000</v>
      </c>
      <c r="C91" s="362"/>
      <c r="D91" s="362"/>
      <c r="E91" s="361">
        <f>'Sources and Uses Budget'!S91</f>
        <v>110000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f>'Sources and Uses Budget'!$A93</f>
        <v>0</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 xml:space="preserve">Other: Cost Certification </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Inspection</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7550398</v>
      </c>
      <c r="C96" s="361">
        <f>SUM(C83:C95)</f>
        <v>0</v>
      </c>
      <c r="D96" s="361">
        <f>SUM(D83:D95)</f>
        <v>0</v>
      </c>
      <c r="E96" s="361">
        <f>'Sources and Uses Budget'!S96</f>
        <v>6978500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79780788</v>
      </c>
      <c r="C97" s="361">
        <f>SUM(C63+C70+C77+C81+C96)</f>
        <v>0</v>
      </c>
      <c r="D97" s="361">
        <f>SUM(D63+D70+D77+D81+D96)</f>
        <v>0</v>
      </c>
      <c r="E97" s="361">
        <f>'Sources and Uses Budget'!S97</f>
        <v>54110941</v>
      </c>
      <c r="F97" s="367">
        <f>SUM(+F63+F70+F81+F96)</f>
        <v>0</v>
      </c>
      <c r="G97" s="367">
        <f>SUM(+G63+G70+G81+G96)</f>
        <v>0</v>
      </c>
      <c r="H97" s="361">
        <f>'Sources and Uses Budget'!T97</f>
        <v>20000000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11116641</v>
      </c>
      <c r="C99" s="362"/>
      <c r="D99" s="362"/>
      <c r="E99" s="361">
        <f>'Sources and Uses Budget'!S99</f>
        <v>8116641</v>
      </c>
      <c r="F99" s="362"/>
      <c r="G99" s="362"/>
      <c r="H99" s="361">
        <f>'Sources and Uses Budget'!T99</f>
        <v>3000000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Legal and Accounting Fees</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11116641</v>
      </c>
      <c r="C104" s="361">
        <f>SUM(C99:C103)</f>
        <v>0</v>
      </c>
      <c r="D104" s="361">
        <f>SUM(D99:D103)</f>
        <v>0</v>
      </c>
      <c r="E104" s="361">
        <f>'Sources and Uses Budget'!S104</f>
        <v>8116641</v>
      </c>
      <c r="F104" s="367">
        <f>SUM(F99:F103)</f>
        <v>0</v>
      </c>
      <c r="G104" s="367">
        <f>SUM(G99:G103)</f>
        <v>0</v>
      </c>
      <c r="H104" s="361">
        <f>'Sources and Uses Budget'!T104</f>
        <v>3000000</v>
      </c>
      <c r="I104" s="367">
        <f>SUM(I99:I103)</f>
        <v>0</v>
      </c>
      <c r="J104" s="367">
        <f>SUM(J99:J103)</f>
        <v>0</v>
      </c>
      <c r="K104" s="359"/>
    </row>
    <row r="105" spans="1:11" s="360" customFormat="1">
      <c r="A105" s="365" t="s">
        <v>1030</v>
      </c>
      <c r="B105" s="361">
        <f>'Sources and Uses Budget'!C105</f>
        <v>90897429</v>
      </c>
      <c r="C105" s="367">
        <f>SUM(C97+C104)</f>
        <v>0</v>
      </c>
      <c r="D105" s="367">
        <f>SUM(D97+D104)</f>
        <v>0</v>
      </c>
      <c r="E105" s="361">
        <f>'Sources and Uses Budget'!S105</f>
        <v>62227582</v>
      </c>
      <c r="F105" s="367">
        <f>F97+F104</f>
        <v>0</v>
      </c>
      <c r="G105" s="367">
        <f>G97+G104</f>
        <v>0</v>
      </c>
      <c r="H105" s="361">
        <f>'Sources and Uses Budget'!T105</f>
        <v>23000000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62227582</v>
      </c>
      <c r="F107" s="367">
        <f>F105+F106</f>
        <v>0</v>
      </c>
      <c r="G107" s="367">
        <f>G105+G106</f>
        <v>0</v>
      </c>
      <c r="H107" s="361">
        <f>'Sources and Uses Budget'!T107</f>
        <v>23000000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6"/>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9" t="s">
        <v>2456</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2455</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1" t="str">
        <f>IF(Application!H18="","",Application!H18)</f>
        <v>707 by Vintage</v>
      </c>
      <c r="M4" s="1882"/>
      <c r="N4" s="1882"/>
      <c r="O4" s="1882"/>
      <c r="P4" s="1882"/>
      <c r="Q4" s="1882"/>
      <c r="R4" s="1882"/>
      <c r="S4" s="1882"/>
      <c r="T4" s="1882"/>
      <c r="U4" s="1882"/>
      <c r="V4" s="1882"/>
      <c r="W4" s="1882"/>
      <c r="X4" s="1882"/>
      <c r="Y4" s="1882"/>
      <c r="Z4" s="1882"/>
      <c r="AA4" s="1882"/>
      <c r="AB4" s="1882"/>
      <c r="AC4" s="1883"/>
      <c r="AD4" s="1190"/>
      <c r="AE4" s="1190"/>
      <c r="AF4" s="1895" t="s">
        <v>2454</v>
      </c>
      <c r="AG4" s="1895"/>
      <c r="AH4" s="1895"/>
      <c r="AI4" s="1895"/>
      <c r="AJ4" s="1895"/>
      <c r="AK4" s="1895"/>
      <c r="AL4" s="1895"/>
      <c r="AM4" s="1895"/>
      <c r="AN4" s="1895"/>
      <c r="AO4" s="1895"/>
      <c r="AP4" s="1896"/>
      <c r="AQ4" s="1897"/>
      <c r="AR4" s="1897"/>
      <c r="AS4" s="1897"/>
      <c r="AT4" s="1897"/>
      <c r="AU4" s="189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5" t="s">
        <v>2453</v>
      </c>
      <c r="AG5" s="1895"/>
      <c r="AH5" s="1895"/>
      <c r="AI5" s="1895"/>
      <c r="AJ5" s="1895"/>
      <c r="AK5" s="1895"/>
      <c r="AL5" s="1895"/>
      <c r="AM5" s="1895"/>
      <c r="AN5" s="1895"/>
      <c r="AO5" s="1895"/>
      <c r="AP5" s="1896"/>
      <c r="AQ5" s="1897"/>
      <c r="AR5" s="1897"/>
      <c r="AS5" s="1897"/>
      <c r="AT5" s="1897"/>
      <c r="AU5" s="1897"/>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81" t="str">
        <f>IF(Application!H16="","",Application!H16)</f>
        <v xml:space="preserve">Vintage Housing Holdings, LLC </v>
      </c>
      <c r="M6" s="1882"/>
      <c r="N6" s="1882"/>
      <c r="O6" s="1882"/>
      <c r="P6" s="1882"/>
      <c r="Q6" s="1882"/>
      <c r="R6" s="1882"/>
      <c r="S6" s="1882"/>
      <c r="T6" s="1882"/>
      <c r="U6" s="1882"/>
      <c r="V6" s="1882"/>
      <c r="W6" s="1882"/>
      <c r="X6" s="1882"/>
      <c r="Y6" s="1882"/>
      <c r="Z6" s="1882"/>
      <c r="AA6" s="1882"/>
      <c r="AB6" s="1882"/>
      <c r="AC6" s="1883"/>
      <c r="AD6" s="1190"/>
      <c r="AE6" s="1190"/>
      <c r="AF6" s="1884" t="s">
        <v>2451</v>
      </c>
      <c r="AG6" s="1884"/>
      <c r="AH6" s="1884"/>
      <c r="AI6" s="1884"/>
      <c r="AJ6" s="1884"/>
      <c r="AK6" s="1884"/>
      <c r="AL6" s="1884"/>
      <c r="AM6" s="1884"/>
      <c r="AN6" s="1884"/>
      <c r="AO6" s="1884"/>
      <c r="AP6" s="1885"/>
      <c r="AQ6" s="1885"/>
      <c r="AR6" s="1885"/>
      <c r="AS6" s="1885"/>
      <c r="AT6" s="1885"/>
      <c r="AU6" s="188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4" t="s">
        <v>2450</v>
      </c>
      <c r="AG7" s="1884"/>
      <c r="AH7" s="1884"/>
      <c r="AI7" s="1884"/>
      <c r="AJ7" s="1884"/>
      <c r="AK7" s="1884"/>
      <c r="AL7" s="1884"/>
      <c r="AM7" s="1884"/>
      <c r="AN7" s="1884"/>
      <c r="AO7" s="1884"/>
      <c r="AP7" s="1885"/>
      <c r="AQ7" s="1885"/>
      <c r="AR7" s="1885"/>
      <c r="AS7" s="1885"/>
      <c r="AT7" s="1885"/>
      <c r="AU7" s="1885"/>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6" t="str">
        <f>Application!T197</f>
        <v>No</v>
      </c>
      <c r="AC8" s="1887"/>
      <c r="AD8" s="1888"/>
      <c r="AE8" s="1190"/>
      <c r="AF8" s="1884" t="s">
        <v>2448</v>
      </c>
      <c r="AG8" s="1884"/>
      <c r="AH8" s="1884"/>
      <c r="AI8" s="1884"/>
      <c r="AJ8" s="1884"/>
      <c r="AK8" s="1884"/>
      <c r="AL8" s="1884"/>
      <c r="AM8" s="1884"/>
      <c r="AN8" s="1884"/>
      <c r="AO8" s="1884"/>
      <c r="AP8" s="1885" t="s">
        <v>2098</v>
      </c>
      <c r="AQ8" s="1885"/>
      <c r="AR8" s="1885"/>
      <c r="AS8" s="1885"/>
      <c r="AT8" s="1885"/>
      <c r="AU8" s="1885"/>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5" t="s">
        <v>2447</v>
      </c>
      <c r="AG9" s="1895"/>
      <c r="AH9" s="1895"/>
      <c r="AI9" s="1895"/>
      <c r="AJ9" s="1895"/>
      <c r="AK9" s="1895"/>
      <c r="AL9" s="1895"/>
      <c r="AM9" s="1895"/>
      <c r="AN9" s="1895"/>
      <c r="AO9" s="1895"/>
      <c r="AP9" s="1896"/>
      <c r="AQ9" s="1897"/>
      <c r="AR9" s="1897"/>
      <c r="AS9" s="1897"/>
      <c r="AT9" s="1897"/>
      <c r="AU9" s="1897"/>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1910">
        <f>Application!AO627</f>
        <v>44919307</v>
      </c>
      <c r="O10" s="1910"/>
      <c r="P10" s="1910"/>
      <c r="Q10" s="1910"/>
      <c r="R10" s="1910"/>
      <c r="S10" s="1910"/>
      <c r="T10" s="1910"/>
      <c r="U10" s="1190"/>
      <c r="V10" s="1190"/>
      <c r="W10" s="1190"/>
      <c r="X10" s="1193"/>
      <c r="Y10" s="1193"/>
      <c r="Z10" s="1193"/>
      <c r="AA10" s="1193"/>
      <c r="AB10" s="1193"/>
      <c r="AC10" s="1193"/>
      <c r="AD10" s="1193"/>
      <c r="AE10" s="1193"/>
      <c r="AF10" s="1895" t="s">
        <v>2444</v>
      </c>
      <c r="AG10" s="1895"/>
      <c r="AH10" s="1895"/>
      <c r="AI10" s="1895"/>
      <c r="AJ10" s="1895"/>
      <c r="AK10" s="1895"/>
      <c r="AL10" s="1895"/>
      <c r="AM10" s="1895"/>
      <c r="AN10" s="1895"/>
      <c r="AO10" s="1895"/>
      <c r="AP10" s="1896"/>
      <c r="AQ10" s="1897"/>
      <c r="AR10" s="1897"/>
      <c r="AS10" s="1897"/>
      <c r="AT10" s="1897"/>
      <c r="AU10" s="1897"/>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1910">
        <f>Application!AA934</f>
        <v>0</v>
      </c>
      <c r="O11" s="1910"/>
      <c r="P11" s="1910"/>
      <c r="Q11" s="1910"/>
      <c r="R11" s="1910"/>
      <c r="S11" s="1910"/>
      <c r="T11" s="1910"/>
      <c r="U11" s="1190"/>
      <c r="V11" s="1190"/>
      <c r="W11" s="1190"/>
      <c r="X11" s="1193"/>
      <c r="Y11" s="1193"/>
      <c r="Z11" s="1193"/>
      <c r="AA11" s="1193"/>
      <c r="AB11" s="1193"/>
      <c r="AC11" s="1193"/>
      <c r="AD11" s="1193"/>
      <c r="AE11" s="1193"/>
      <c r="AF11" s="1895" t="s">
        <v>2441</v>
      </c>
      <c r="AG11" s="1895"/>
      <c r="AH11" s="1895"/>
      <c r="AI11" s="1895"/>
      <c r="AJ11" s="1895"/>
      <c r="AK11" s="1895"/>
      <c r="AL11" s="1895"/>
      <c r="AM11" s="1895"/>
      <c r="AN11" s="1895"/>
      <c r="AO11" s="1895"/>
      <c r="AP11" s="1896"/>
      <c r="AQ11" s="1897"/>
      <c r="AR11" s="1897"/>
      <c r="AS11" s="1897"/>
      <c r="AT11" s="1897"/>
      <c r="AU11" s="1897"/>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98" t="s">
        <v>2439</v>
      </c>
      <c r="C13" s="1899"/>
      <c r="D13" s="1899"/>
      <c r="E13" s="1899"/>
      <c r="F13" s="1899"/>
      <c r="G13" s="1899"/>
      <c r="H13" s="1899"/>
      <c r="I13" s="1899"/>
      <c r="J13" s="1899"/>
      <c r="K13" s="1899"/>
      <c r="L13" s="1899"/>
      <c r="M13" s="1899"/>
      <c r="N13" s="1899"/>
      <c r="O13" s="1899"/>
      <c r="P13" s="1900"/>
      <c r="Q13" s="1901" t="s">
        <v>669</v>
      </c>
      <c r="R13" s="1902"/>
      <c r="S13" s="1902"/>
      <c r="T13" s="1903"/>
      <c r="U13" s="1193"/>
      <c r="V13" s="1190"/>
      <c r="W13" s="1190"/>
      <c r="X13" s="1190"/>
      <c r="Y13" s="1190"/>
      <c r="Z13" s="1190"/>
      <c r="AA13" s="1904" t="s">
        <v>2438</v>
      </c>
      <c r="AB13" s="1904"/>
      <c r="AC13" s="1904"/>
      <c r="AD13" s="1904"/>
      <c r="AE13" s="1904"/>
      <c r="AF13" s="1904"/>
      <c r="AG13" s="1904"/>
      <c r="AH13" s="1904"/>
      <c r="AI13" s="1904"/>
      <c r="AJ13" s="1904"/>
      <c r="AK13" s="1904"/>
      <c r="AL13" s="1904"/>
      <c r="AM13" s="1904"/>
      <c r="AN13" s="1904"/>
      <c r="AO13" s="1905">
        <f>Application!W473</f>
        <v>0</v>
      </c>
      <c r="AP13" s="1906"/>
      <c r="AQ13" s="1906"/>
      <c r="AR13" s="1906"/>
      <c r="AS13" s="1906"/>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7" t="s">
        <v>2436</v>
      </c>
      <c r="AB14" s="1907"/>
      <c r="AC14" s="1907"/>
      <c r="AD14" s="1907"/>
      <c r="AE14" s="1907"/>
      <c r="AF14" s="1907"/>
      <c r="AG14" s="1907"/>
      <c r="AH14" s="1907"/>
      <c r="AI14" s="1907"/>
      <c r="AJ14" s="1907"/>
      <c r="AK14" s="1907"/>
      <c r="AL14" s="1907"/>
      <c r="AM14" s="1907"/>
      <c r="AN14" s="1907"/>
      <c r="AO14" s="1908"/>
      <c r="AP14" s="1909"/>
      <c r="AQ14" s="1909"/>
      <c r="AR14" s="1909"/>
      <c r="AS14" s="1909"/>
      <c r="AT14" s="1193"/>
      <c r="AU14" s="1193"/>
      <c r="AV14" s="1193"/>
      <c r="AW14" s="1193"/>
      <c r="AX14" s="1193"/>
      <c r="AY14" s="1193"/>
      <c r="AZ14" s="1193"/>
      <c r="BA14" s="1193"/>
      <c r="BB14" s="1193"/>
      <c r="BC14" s="1193"/>
      <c r="BD14" s="1193"/>
      <c r="BE14" s="1194"/>
    </row>
    <row r="15" spans="1:65" ht="15" thickBot="1">
      <c r="A15" s="1190"/>
      <c r="B15" s="1911" t="s">
        <v>2435</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3"/>
      <c r="Y15" s="1190"/>
      <c r="Z15" s="1190"/>
      <c r="AA15" s="1904" t="s">
        <v>2434</v>
      </c>
      <c r="AB15" s="1904"/>
      <c r="AC15" s="1904"/>
      <c r="AD15" s="1904"/>
      <c r="AE15" s="1904"/>
      <c r="AF15" s="1904"/>
      <c r="AG15" s="1904"/>
      <c r="AH15" s="1904"/>
      <c r="AI15" s="1904"/>
      <c r="AJ15" s="1904"/>
      <c r="AK15" s="1904"/>
      <c r="AL15" s="1904"/>
      <c r="AM15" s="1904"/>
      <c r="AN15" s="1904"/>
      <c r="AO15" s="1908"/>
      <c r="AP15" s="1909"/>
      <c r="AQ15" s="1909"/>
      <c r="AR15" s="1909"/>
      <c r="AS15" s="1909"/>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6" t="s">
        <v>2433</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0"/>
      <c r="BA17" s="1190"/>
      <c r="BB17" s="1190"/>
      <c r="BC17" s="1190"/>
      <c r="BD17" s="1190"/>
      <c r="BE17" s="1194"/>
      <c r="BF17" s="1188"/>
    </row>
    <row r="18" spans="1:58" ht="15.75" customHeight="1">
      <c r="A18" s="1190"/>
      <c r="B18" s="1919" t="s">
        <v>2432</v>
      </c>
      <c r="C18" s="1920"/>
      <c r="D18" s="1920"/>
      <c r="E18" s="1920"/>
      <c r="F18" s="1920"/>
      <c r="G18" s="1920"/>
      <c r="H18" s="1920"/>
      <c r="I18" s="1921"/>
      <c r="J18" s="1922" t="s">
        <v>1586</v>
      </c>
      <c r="K18" s="1923"/>
      <c r="L18" s="1923"/>
      <c r="M18" s="1923"/>
      <c r="N18" s="1923"/>
      <c r="O18" s="1924"/>
      <c r="P18" s="1922" t="s">
        <v>324</v>
      </c>
      <c r="Q18" s="1923"/>
      <c r="R18" s="1923"/>
      <c r="S18" s="1923"/>
      <c r="T18" s="1923"/>
      <c r="U18" s="1924"/>
      <c r="V18" s="1922" t="s">
        <v>325</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2431</v>
      </c>
      <c r="AU18" s="1923"/>
      <c r="AV18" s="1923"/>
      <c r="AW18" s="1923"/>
      <c r="AX18" s="1923"/>
      <c r="AY18" s="1925"/>
      <c r="AZ18" s="1190"/>
      <c r="BA18" s="1190"/>
      <c r="BB18" s="1190"/>
      <c r="BC18" s="1190"/>
      <c r="BD18" s="1190"/>
      <c r="BE18" s="1194"/>
    </row>
    <row r="19" spans="1:58" ht="14.5">
      <c r="A19" s="1190"/>
      <c r="B19" s="1926">
        <v>0.3</v>
      </c>
      <c r="C19" s="1927"/>
      <c r="D19" s="1927"/>
      <c r="E19" s="1927"/>
      <c r="F19" s="1927"/>
      <c r="G19" s="1927"/>
      <c r="H19" s="1927"/>
      <c r="I19" s="1928"/>
      <c r="J19" s="1929">
        <f t="shared" ref="J19:J24" si="0">SUM(P19:AS19)</f>
        <v>20</v>
      </c>
      <c r="K19" s="1930"/>
      <c r="L19" s="1930"/>
      <c r="M19" s="1930"/>
      <c r="N19" s="1930"/>
      <c r="O19" s="1931"/>
      <c r="P19" s="1929" cm="1">
        <f t="array" ref="P19">SUMPRODUCT((Application!$B$718:$B$752 = 'CalHFA Addendum'!P$18)*(Application!$AC$718:$AC$752 = 'CalHFA Addendum'!$B19),Application!$G$718:$G$752)</f>
        <v>0</v>
      </c>
      <c r="Q19" s="1930"/>
      <c r="R19" s="1930"/>
      <c r="S19" s="1930"/>
      <c r="T19" s="1930"/>
      <c r="U19" s="1931"/>
      <c r="V19" s="1929" cm="1">
        <f t="array" ref="V19">SUMPRODUCT((Application!$B$714:$B$738 = 'CalHFA Addendum'!V$18)*(Application!$AC$714:$AC$738 = 'CalHFA Addendum'!$B19),Application!$G$714:$G$738)</f>
        <v>13</v>
      </c>
      <c r="W19" s="1930"/>
      <c r="X19" s="1930"/>
      <c r="Y19" s="1930"/>
      <c r="Z19" s="1930"/>
      <c r="AA19" s="1931"/>
      <c r="AB19" s="1929" cm="1">
        <f t="array" ref="AB19">SUMPRODUCT((Application!$B$714:$B$738 = 'CalHFA Addendum'!AB$18)*(Application!$AC$714:$AC$738 = 'CalHFA Addendum'!$B19),Application!$G$714:$G$738)</f>
        <v>7</v>
      </c>
      <c r="AC19" s="1930"/>
      <c r="AD19" s="1930"/>
      <c r="AE19" s="1930"/>
      <c r="AF19" s="1930"/>
      <c r="AG19" s="1931"/>
      <c r="AH19" s="1929" cm="1">
        <f t="array" ref="AH19">SUMPRODUCT((Application!$B$714:$B$738 = 'CalHFA Addendum'!AH$18)*(Application!$AC$714:$AC$738 = 'CalHFA Addendum'!$B19),Application!$G$714:$G$738)</f>
        <v>0</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0.1</v>
      </c>
      <c r="AU19" s="1933"/>
      <c r="AV19" s="1933"/>
      <c r="AW19" s="1933"/>
      <c r="AX19" s="1933"/>
      <c r="AY19" s="1934"/>
      <c r="AZ19" s="1195"/>
      <c r="BA19" s="1190"/>
      <c r="BB19" s="1190"/>
      <c r="BC19" s="1190"/>
      <c r="BD19" s="1190"/>
      <c r="BE19" s="1194"/>
    </row>
    <row r="20" spans="1:58" ht="15" customHeight="1">
      <c r="A20" s="1190"/>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90"/>
      <c r="BA20" s="1190"/>
      <c r="BB20" s="1190"/>
      <c r="BC20" s="1190"/>
      <c r="BD20" s="1190"/>
      <c r="BE20" s="1194"/>
    </row>
    <row r="21" spans="1:58" ht="14.5">
      <c r="A21" s="1190"/>
      <c r="B21" s="1926">
        <v>0.5</v>
      </c>
      <c r="C21" s="1927"/>
      <c r="D21" s="1927"/>
      <c r="E21" s="1927"/>
      <c r="F21" s="1927"/>
      <c r="G21" s="1927"/>
      <c r="H21" s="1927"/>
      <c r="I21" s="1928"/>
      <c r="J21" s="1929">
        <f t="shared" si="0"/>
        <v>20</v>
      </c>
      <c r="K21" s="1930"/>
      <c r="L21" s="1930"/>
      <c r="M21" s="1930"/>
      <c r="N21" s="1930"/>
      <c r="O21" s="1931"/>
      <c r="P21" s="1929" cm="1">
        <f t="array" ref="P21">SUMPRODUCT((Application!$B$714:$B$738 = 'CalHFA Addendum'!P$18)*(Application!$AC$714:$AC$738 = 'CalHFA Addendum'!$B21),Application!$G$714:$G$738)</f>
        <v>0</v>
      </c>
      <c r="Q21" s="1930"/>
      <c r="R21" s="1930"/>
      <c r="S21" s="1930"/>
      <c r="T21" s="1930"/>
      <c r="U21" s="1931"/>
      <c r="V21" s="1929" cm="1">
        <f t="array" ref="V21">SUMPRODUCT((Application!$B$714:$B$738 = 'CalHFA Addendum'!V$18)*(Application!$AC$714:$AC$738 = 'CalHFA Addendum'!$B21),Application!$G$714:$G$738)</f>
        <v>13</v>
      </c>
      <c r="W21" s="1930"/>
      <c r="X21" s="1930"/>
      <c r="Y21" s="1930"/>
      <c r="Z21" s="1930"/>
      <c r="AA21" s="1931"/>
      <c r="AB21" s="1929" cm="1">
        <f t="array" ref="AB21">SUMPRODUCT((Application!$B$714:$B$738 = 'CalHFA Addendum'!AB$18)*(Application!$AC$714:$AC$738 = 'CalHFA Addendum'!$B21),Application!$G$714:$G$738)</f>
        <v>7</v>
      </c>
      <c r="AC21" s="1930"/>
      <c r="AD21" s="1930"/>
      <c r="AE21" s="1930"/>
      <c r="AF21" s="1930"/>
      <c r="AG21" s="1931"/>
      <c r="AH21" s="1929" cm="1">
        <f t="array" ref="AH21">SUMPRODUCT((Application!$B$714:$B$738 = 'CalHFA Addendum'!AH$18)*(Application!$AC$714:$AC$738 = 'CalHFA Addendum'!$B21),Application!$G$714:$G$738)</f>
        <v>0</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0.1</v>
      </c>
      <c r="AU21" s="1933"/>
      <c r="AV21" s="1933"/>
      <c r="AW21" s="1933"/>
      <c r="AX21" s="1933"/>
      <c r="AY21" s="1934"/>
      <c r="AZ21" s="1190"/>
      <c r="BA21" s="1190"/>
      <c r="BB21" s="1190"/>
      <c r="BC21" s="1190"/>
      <c r="BD21" s="1190"/>
      <c r="BE21" s="1194"/>
    </row>
    <row r="22" spans="1:58" ht="14.5">
      <c r="A22" s="1190"/>
      <c r="B22" s="1926">
        <v>0.6</v>
      </c>
      <c r="C22" s="1927"/>
      <c r="D22" s="1927"/>
      <c r="E22" s="1927"/>
      <c r="F22" s="1927"/>
      <c r="G22" s="1927"/>
      <c r="H22" s="1927"/>
      <c r="I22" s="1928"/>
      <c r="J22" s="1929">
        <f t="shared" si="0"/>
        <v>121</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80</v>
      </c>
      <c r="W22" s="1930"/>
      <c r="X22" s="1930"/>
      <c r="Y22" s="1930"/>
      <c r="Z22" s="1930"/>
      <c r="AA22" s="1931"/>
      <c r="AB22" s="1929" cm="1">
        <f t="array" ref="AB22">SUMPRODUCT((Application!$B$714:$B$738 = 'CalHFA Addendum'!AB$18)*(Application!$AC$714:$AC$738 = 'CalHFA Addendum'!$B22),Application!$G$714:$G$738)</f>
        <v>41</v>
      </c>
      <c r="AC22" s="1930"/>
      <c r="AD22" s="1930"/>
      <c r="AE22" s="1930"/>
      <c r="AF22" s="1930"/>
      <c r="AG22" s="1931"/>
      <c r="AH22" s="1929" cm="1">
        <f t="array" ref="AH22">SUMPRODUCT((Application!$B$714:$B$738 = 'CalHFA Addendum'!AH$18)*(Application!$AC$714:$AC$738 = 'CalHFA Addendum'!$B22),Application!$G$714:$G$738)</f>
        <v>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0.60499999999999998</v>
      </c>
      <c r="AU22" s="1933"/>
      <c r="AV22" s="1933"/>
      <c r="AW22" s="1933"/>
      <c r="AX22" s="1933"/>
      <c r="AY22" s="1934"/>
      <c r="AZ22" s="1190"/>
      <c r="BA22" s="1190"/>
      <c r="BB22" s="1190"/>
      <c r="BC22" s="1190"/>
      <c r="BD22" s="1190"/>
      <c r="BE22" s="1194"/>
    </row>
    <row r="23" spans="1:58" ht="14.5">
      <c r="A23" s="1190"/>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0"/>
      <c r="BA23" s="1190"/>
      <c r="BB23" s="1190"/>
      <c r="BC23" s="1190"/>
      <c r="BD23" s="1190"/>
      <c r="BE23" s="1194"/>
    </row>
    <row r="24" spans="1:58" ht="14.5">
      <c r="A24" s="1190"/>
      <c r="B24" s="1926">
        <v>0.8</v>
      </c>
      <c r="C24" s="1927"/>
      <c r="D24" s="1927"/>
      <c r="E24" s="1927"/>
      <c r="F24" s="1927"/>
      <c r="G24" s="1927"/>
      <c r="H24" s="1927"/>
      <c r="I24" s="1928"/>
      <c r="J24" s="1929">
        <f t="shared" si="0"/>
        <v>37</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26</v>
      </c>
      <c r="W24" s="1930"/>
      <c r="X24" s="1930"/>
      <c r="Y24" s="1930"/>
      <c r="Z24" s="1930"/>
      <c r="AA24" s="1931"/>
      <c r="AB24" s="1929" cm="1">
        <f t="array" ref="AB24">SUMPRODUCT((Application!$B$714:$B$738 = 'CalHFA Addendum'!AB$18)*(Application!$AC$714:$AC$738 = 'CalHFA Addendum'!$B24),Application!$G$714:$G$738)</f>
        <v>11</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0.185</v>
      </c>
      <c r="AU24" s="1933"/>
      <c r="AV24" s="1933"/>
      <c r="AW24" s="1933"/>
      <c r="AX24" s="1933"/>
      <c r="AY24" s="1934"/>
      <c r="AZ24" s="1190"/>
      <c r="BA24" s="1190"/>
      <c r="BB24" s="1190"/>
      <c r="BC24" s="1190"/>
      <c r="BD24" s="1190"/>
      <c r="BE24" s="1194"/>
    </row>
    <row r="25" spans="1:58" ht="14.5">
      <c r="A25" s="1190"/>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0"/>
      <c r="BA25" s="1190"/>
      <c r="BB25" s="1190"/>
      <c r="BC25" s="1190"/>
      <c r="BD25" s="1190"/>
      <c r="BE25" s="1194"/>
    </row>
    <row r="26" spans="1:58" ht="14.5">
      <c r="A26" s="1190"/>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0"/>
      <c r="BA26" s="1190"/>
      <c r="BB26" s="1190"/>
      <c r="BC26" s="1190"/>
      <c r="BD26" s="1190"/>
      <c r="BE26" s="1194"/>
    </row>
    <row r="27" spans="1:58" ht="14.5">
      <c r="A27" s="1190"/>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0"/>
      <c r="BA27" s="1190"/>
      <c r="BB27" s="1190"/>
      <c r="BC27" s="1190"/>
      <c r="BD27" s="1190"/>
      <c r="BE27" s="1194"/>
    </row>
    <row r="28" spans="1:58" ht="15" thickBot="1">
      <c r="A28" s="1190"/>
      <c r="B28" s="1938" t="s">
        <v>2430</v>
      </c>
      <c r="C28" s="1939"/>
      <c r="D28" s="1939"/>
      <c r="E28" s="1939"/>
      <c r="F28" s="1939"/>
      <c r="G28" s="1939"/>
      <c r="H28" s="1939"/>
      <c r="I28" s="1940"/>
      <c r="J28" s="1941">
        <f>SUM(P28:AS28)</f>
        <v>2</v>
      </c>
      <c r="K28" s="1942"/>
      <c r="L28" s="1942"/>
      <c r="M28" s="1942"/>
      <c r="N28" s="1942"/>
      <c r="O28" s="1943"/>
      <c r="P28" s="1941">
        <f>_xlfn.IFNA(VLOOKUP(P$18,Application!$J$773:$S$776,6,FALSE), 0)</f>
        <v>0</v>
      </c>
      <c r="Q28" s="1942"/>
      <c r="R28" s="1942"/>
      <c r="S28" s="1942"/>
      <c r="T28" s="1942"/>
      <c r="U28" s="1943"/>
      <c r="V28" s="1941">
        <f>_xlfn.IFNA(VLOOKUP(V$18,Application!$J$773:$S$776,6,FALSE), 0)</f>
        <v>2</v>
      </c>
      <c r="W28" s="1942"/>
      <c r="X28" s="1942"/>
      <c r="Y28" s="1942"/>
      <c r="Z28" s="1942"/>
      <c r="AA28" s="1943"/>
      <c r="AB28" s="1941">
        <f>_xlfn.IFNA(VLOOKUP(AB$18,Application!$J$773:$S$776,6,FALSE), 0)</f>
        <v>0</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0.01</v>
      </c>
      <c r="AU28" s="1945"/>
      <c r="AV28" s="1945"/>
      <c r="AW28" s="1945"/>
      <c r="AX28" s="1945"/>
      <c r="AY28" s="1946"/>
      <c r="AZ28" s="1190"/>
      <c r="BA28" s="1190"/>
      <c r="BB28" s="1190"/>
      <c r="BC28" s="1190"/>
      <c r="BD28" s="1190"/>
      <c r="BE28" s="1194"/>
    </row>
    <row r="29" spans="1:58" ht="15" thickBot="1">
      <c r="A29" s="1190"/>
      <c r="B29" s="1975" t="s">
        <v>1586</v>
      </c>
      <c r="C29" s="1948"/>
      <c r="D29" s="1948"/>
      <c r="E29" s="1948"/>
      <c r="F29" s="1948"/>
      <c r="G29" s="1948"/>
      <c r="H29" s="1948"/>
      <c r="I29" s="1949"/>
      <c r="J29" s="1947">
        <f>SUM(J19:O28)</f>
        <v>200</v>
      </c>
      <c r="K29" s="1948"/>
      <c r="L29" s="1948"/>
      <c r="M29" s="1948"/>
      <c r="N29" s="1948"/>
      <c r="O29" s="1949"/>
      <c r="P29" s="1947">
        <f>SUM(P19:U28)</f>
        <v>0</v>
      </c>
      <c r="Q29" s="1948"/>
      <c r="R29" s="1948"/>
      <c r="S29" s="1948"/>
      <c r="T29" s="1948"/>
      <c r="U29" s="1949"/>
      <c r="V29" s="1947">
        <f>SUM(V19:AA28)</f>
        <v>134</v>
      </c>
      <c r="W29" s="1948"/>
      <c r="X29" s="1948"/>
      <c r="Y29" s="1948"/>
      <c r="Z29" s="1948"/>
      <c r="AA29" s="1949"/>
      <c r="AB29" s="1947">
        <f>SUM(AB19:AG28)</f>
        <v>66</v>
      </c>
      <c r="AC29" s="1948"/>
      <c r="AD29" s="1948"/>
      <c r="AE29" s="1948"/>
      <c r="AF29" s="1948"/>
      <c r="AG29" s="1949"/>
      <c r="AH29" s="1947">
        <f>SUM(AH19:AM28)</f>
        <v>0</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3" t="s">
        <v>2429</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4"/>
    </row>
    <row r="32" spans="1:58" ht="15" thickBot="1">
      <c r="A32" s="1190"/>
      <c r="B32" s="1956" t="s">
        <v>2428</v>
      </c>
      <c r="C32" s="1957"/>
      <c r="D32" s="1957"/>
      <c r="E32" s="1957"/>
      <c r="F32" s="1957"/>
      <c r="G32" s="1957"/>
      <c r="H32" s="1957"/>
      <c r="I32" s="1957"/>
      <c r="J32" s="1960" t="s">
        <v>2427</v>
      </c>
      <c r="K32" s="1961"/>
      <c r="L32" s="1961"/>
      <c r="M32" s="1961"/>
      <c r="N32" s="1960" t="s">
        <v>2426</v>
      </c>
      <c r="O32" s="1961"/>
      <c r="P32" s="1961"/>
      <c r="Q32" s="1963"/>
      <c r="R32" s="1965" t="s">
        <v>2425</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4"/>
    </row>
    <row r="33" spans="1:58" ht="15" customHeight="1">
      <c r="A33" s="1190"/>
      <c r="B33" s="1958"/>
      <c r="C33" s="1959"/>
      <c r="D33" s="1959"/>
      <c r="E33" s="1959"/>
      <c r="F33" s="1959"/>
      <c r="G33" s="1959"/>
      <c r="H33" s="1959"/>
      <c r="I33" s="1959"/>
      <c r="J33" s="1962"/>
      <c r="K33" s="1962"/>
      <c r="L33" s="1962"/>
      <c r="M33" s="1962"/>
      <c r="N33" s="1962"/>
      <c r="O33" s="1962"/>
      <c r="P33" s="1962"/>
      <c r="Q33" s="1964"/>
      <c r="R33" s="1968" t="s">
        <v>2424</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4"/>
    </row>
    <row r="34" spans="1:58" ht="15.75" customHeight="1" thickBot="1">
      <c r="A34" s="1190"/>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4"/>
    </row>
    <row r="35" spans="1:58" ht="15.75" customHeight="1">
      <c r="A35" s="1190"/>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2423</v>
      </c>
      <c r="AT35" s="1977"/>
      <c r="AU35" s="1977"/>
      <c r="AV35" s="1977"/>
      <c r="AW35" s="1977"/>
      <c r="AX35" s="1985"/>
      <c r="AY35" s="1976" t="s">
        <v>2422</v>
      </c>
      <c r="AZ35" s="1977"/>
      <c r="BA35" s="1977"/>
      <c r="BB35" s="1977"/>
      <c r="BC35" s="1977"/>
      <c r="BD35" s="1978"/>
      <c r="BE35" s="1194"/>
    </row>
    <row r="36" spans="1:58" ht="15.75" customHeight="1">
      <c r="A36" s="1190"/>
      <c r="B36" s="1995" t="s">
        <v>2421</v>
      </c>
      <c r="C36" s="1996"/>
      <c r="D36" s="1996"/>
      <c r="E36" s="1996"/>
      <c r="F36" s="1996"/>
      <c r="G36" s="1996"/>
      <c r="H36" s="1996"/>
      <c r="I36" s="1996"/>
      <c r="J36" s="1997" t="s">
        <v>2420</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4"/>
    </row>
    <row r="37" spans="1:58" ht="15.75" customHeight="1">
      <c r="A37" s="1190"/>
      <c r="B37" s="1995" t="s">
        <v>2419</v>
      </c>
      <c r="C37" s="1996"/>
      <c r="D37" s="1996"/>
      <c r="E37" s="1996"/>
      <c r="F37" s="1996"/>
      <c r="G37" s="1996"/>
      <c r="H37" s="1996"/>
      <c r="I37" s="1996"/>
      <c r="J37" s="1997" t="s">
        <v>2418</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4"/>
    </row>
    <row r="38" spans="1:58" ht="15.75" customHeight="1">
      <c r="A38" s="1190"/>
      <c r="B38" s="1995" t="s">
        <v>2417</v>
      </c>
      <c r="C38" s="1996"/>
      <c r="D38" s="1996"/>
      <c r="E38" s="1996"/>
      <c r="F38" s="1996"/>
      <c r="G38" s="1996"/>
      <c r="H38" s="1996"/>
      <c r="I38" s="1996"/>
      <c r="J38" s="1997" t="s">
        <v>2416</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4"/>
    </row>
    <row r="39" spans="1:58" ht="15.75" customHeight="1">
      <c r="A39" s="1190"/>
      <c r="B39" s="1995" t="s">
        <v>2415</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4"/>
    </row>
    <row r="40" spans="1:58" ht="15.75" customHeight="1">
      <c r="A40" s="1190"/>
      <c r="B40" s="1995" t="s">
        <v>2415</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4"/>
    </row>
    <row r="41" spans="1:58" ht="15.75" customHeight="1">
      <c r="A41" s="1190"/>
      <c r="B41" s="1995" t="s">
        <v>2414</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4"/>
    </row>
    <row r="42" spans="1:58" ht="15.75" customHeight="1">
      <c r="A42" s="1190"/>
      <c r="B42" s="1995" t="s">
        <v>2414</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4"/>
    </row>
    <row r="43" spans="1:58" ht="15.75" customHeight="1">
      <c r="A43" s="1190"/>
      <c r="B43" s="1999" t="s">
        <v>2413</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4"/>
    </row>
    <row r="44" spans="1:58" ht="15.75" customHeight="1">
      <c r="A44" s="1190"/>
      <c r="B44" s="1999" t="s">
        <v>2412</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4"/>
    </row>
    <row r="45" spans="1:58" ht="15.75" customHeight="1">
      <c r="A45" s="1190"/>
      <c r="B45" s="1999" t="s">
        <v>2411</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4"/>
    </row>
    <row r="46" spans="1:58" ht="15.75" customHeight="1">
      <c r="A46" s="1190"/>
      <c r="B46" s="1999" t="s">
        <v>2335</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4"/>
    </row>
    <row r="47" spans="1:58" ht="15.75" customHeight="1" thickBot="1">
      <c r="A47" s="1190"/>
      <c r="B47" s="2001" t="s">
        <v>300</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1" t="s">
        <v>2408</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4" t="s">
        <v>2401</v>
      </c>
      <c r="C51" s="2015"/>
      <c r="D51" s="2015"/>
      <c r="E51" s="2015"/>
      <c r="F51" s="2015"/>
      <c r="G51" s="2015"/>
      <c r="H51" s="2015"/>
      <c r="I51" s="2015"/>
      <c r="J51" s="2015" t="s">
        <v>2407</v>
      </c>
      <c r="K51" s="2015"/>
      <c r="L51" s="2015"/>
      <c r="M51" s="2015"/>
      <c r="N51" s="2015"/>
      <c r="O51" s="2015"/>
      <c r="P51" s="2015"/>
      <c r="Q51" s="2015"/>
      <c r="R51" s="2016" t="s">
        <v>2406</v>
      </c>
      <c r="S51" s="2016"/>
      <c r="T51" s="2016"/>
      <c r="U51" s="2016"/>
      <c r="V51" s="2016"/>
      <c r="W51" s="2016"/>
      <c r="X51" s="2016"/>
      <c r="Y51" s="2016"/>
      <c r="Z51" s="2016" t="s">
        <v>2405</v>
      </c>
      <c r="AA51" s="2016"/>
      <c r="AB51" s="2016"/>
      <c r="AC51" s="2016"/>
      <c r="AD51" s="2016"/>
      <c r="AE51" s="2016"/>
      <c r="AF51" s="2016"/>
      <c r="AG51" s="2016"/>
      <c r="AH51" s="2016" t="s">
        <v>2404</v>
      </c>
      <c r="AI51" s="2016"/>
      <c r="AJ51" s="2016"/>
      <c r="AK51" s="2016"/>
      <c r="AL51" s="2016"/>
      <c r="AM51" s="2016"/>
      <c r="AN51" s="2016"/>
      <c r="AO51" s="201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9" t="s">
        <v>2403</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9" t="s">
        <v>2402</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2" t="s">
        <v>1586</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3" t="s">
        <v>2401</v>
      </c>
      <c r="C59" s="2024"/>
      <c r="D59" s="2024"/>
      <c r="E59" s="2024"/>
      <c r="F59" s="2024"/>
      <c r="G59" s="2024"/>
      <c r="H59" s="2024"/>
      <c r="I59" s="2025"/>
      <c r="J59" s="1917" t="s">
        <v>2400</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0"/>
      <c r="AY59" s="1190"/>
      <c r="AZ59" s="1190"/>
      <c r="BA59" s="1190"/>
      <c r="BB59" s="1190"/>
      <c r="BC59" s="1190"/>
      <c r="BD59" s="1190"/>
      <c r="BE59" s="1194"/>
    </row>
    <row r="60" spans="1:77" ht="15.75" customHeight="1">
      <c r="A60" s="1190"/>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0"/>
      <c r="AY60" s="1190"/>
      <c r="AZ60" s="1190"/>
      <c r="BA60" s="1190"/>
      <c r="BB60" s="1190"/>
      <c r="BC60" s="1190"/>
      <c r="BD60" s="1190"/>
      <c r="BE60" s="1194"/>
    </row>
    <row r="61" spans="1:77" ht="15.75" customHeight="1">
      <c r="A61" s="1190"/>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0"/>
      <c r="AY61" s="1190"/>
      <c r="AZ61" s="1190"/>
      <c r="BA61" s="1190"/>
      <c r="BB61" s="1190"/>
      <c r="BC61" s="1190"/>
      <c r="BD61" s="1190"/>
      <c r="BE61" s="1194"/>
    </row>
    <row r="62" spans="1:77" ht="15.75" customHeight="1">
      <c r="A62" s="1190"/>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0"/>
      <c r="AY62" s="1190"/>
      <c r="AZ62" s="1190"/>
      <c r="BA62" s="1190"/>
      <c r="BB62" s="1190"/>
      <c r="BC62" s="1190"/>
      <c r="BD62" s="1190"/>
      <c r="BE62" s="1194"/>
    </row>
    <row r="63" spans="1:77" ht="15.75" customHeight="1">
      <c r="A63" s="1190"/>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0"/>
      <c r="AY63" s="1190"/>
      <c r="AZ63" s="1190"/>
      <c r="BA63" s="1190"/>
      <c r="BB63" s="1190"/>
      <c r="BC63" s="1190"/>
      <c r="BD63" s="1190"/>
      <c r="BE63" s="1194"/>
    </row>
    <row r="64" spans="1:77" ht="15.75" customHeight="1" thickBot="1">
      <c r="A64" s="1190"/>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6" t="s">
        <v>2398</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0"/>
      <c r="AC68" s="2060" t="s">
        <v>2397</v>
      </c>
      <c r="AD68" s="2061"/>
      <c r="AE68" s="2061"/>
      <c r="AF68" s="2061"/>
      <c r="AG68" s="2061"/>
      <c r="AH68" s="2061"/>
      <c r="AI68" s="2061"/>
      <c r="AJ68" s="2061"/>
      <c r="AK68" s="2061"/>
      <c r="AL68" s="2061"/>
      <c r="AM68" s="2061"/>
      <c r="AN68" s="2061"/>
      <c r="AO68" s="2061"/>
      <c r="AP68" s="2061"/>
      <c r="AQ68" s="2061"/>
      <c r="AR68" s="2061"/>
      <c r="AS68" s="2061"/>
      <c r="AT68" s="2061"/>
      <c r="AU68" s="2061"/>
      <c r="AV68" s="2038" t="s">
        <v>669</v>
      </c>
      <c r="AW68" s="2039"/>
      <c r="AX68" s="2039"/>
      <c r="AY68" s="2039"/>
      <c r="AZ68" s="2039"/>
      <c r="BA68" s="2039"/>
      <c r="BB68" s="2039"/>
      <c r="BC68" s="2040"/>
      <c r="BD68" s="1190"/>
      <c r="BE68" s="1194"/>
      <c r="BM68" s="1199" t="s">
        <v>2396</v>
      </c>
    </row>
    <row r="69" spans="1:94" ht="15.75" customHeight="1" thickTop="1" thickBot="1">
      <c r="A69" s="1190"/>
      <c r="B69" s="2041" t="s">
        <v>2395</v>
      </c>
      <c r="C69" s="2042"/>
      <c r="D69" s="2042"/>
      <c r="E69" s="2042"/>
      <c r="F69" s="2042"/>
      <c r="G69" s="2042"/>
      <c r="H69" s="2042"/>
      <c r="I69" s="2042"/>
      <c r="J69" s="2042"/>
      <c r="K69" s="2042"/>
      <c r="L69" s="2042"/>
      <c r="M69" s="2042"/>
      <c r="N69" s="2042"/>
      <c r="O69" s="2043" t="s">
        <v>2394</v>
      </c>
      <c r="P69" s="2044"/>
      <c r="Q69" s="2044"/>
      <c r="R69" s="2044"/>
      <c r="S69" s="2044"/>
      <c r="T69" s="2044"/>
      <c r="U69" s="2044"/>
      <c r="V69" s="2044"/>
      <c r="W69" s="2044"/>
      <c r="X69" s="2044"/>
      <c r="Y69" s="2044"/>
      <c r="Z69" s="2044"/>
      <c r="AA69" s="2045"/>
      <c r="AB69" s="1190"/>
      <c r="AC69" s="2046" t="s">
        <v>2393</v>
      </c>
      <c r="AD69" s="2047"/>
      <c r="AE69" s="2047"/>
      <c r="AF69" s="2047"/>
      <c r="AG69" s="2047"/>
      <c r="AH69" s="2047"/>
      <c r="AI69" s="2047"/>
      <c r="AJ69" s="2047"/>
      <c r="AK69" s="2047"/>
      <c r="AL69" s="2047"/>
      <c r="AM69" s="2047"/>
      <c r="AN69" s="2047"/>
      <c r="AO69" s="2047"/>
      <c r="AP69" s="2047"/>
      <c r="AQ69" s="2047"/>
      <c r="AR69" s="2047"/>
      <c r="AS69" s="2047"/>
      <c r="AT69" s="2047"/>
      <c r="AU69" s="2047"/>
      <c r="AV69" s="2038" t="s">
        <v>669</v>
      </c>
      <c r="AW69" s="2039"/>
      <c r="AX69" s="2039"/>
      <c r="AY69" s="2039"/>
      <c r="AZ69" s="2039"/>
      <c r="BA69" s="2039"/>
      <c r="BB69" s="2039"/>
      <c r="BC69" s="2040"/>
      <c r="BD69" s="1190"/>
      <c r="BE69" s="1194"/>
      <c r="BM69" s="1200" t="s">
        <v>545</v>
      </c>
    </row>
    <row r="70" spans="1:94" ht="15.75" customHeight="1">
      <c r="A70" s="1190"/>
      <c r="B70" s="1995" t="s">
        <v>2392</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0"/>
      <c r="AC70" s="2011" t="s">
        <v>2391</v>
      </c>
      <c r="AD70" s="2012"/>
      <c r="AE70" s="2012"/>
      <c r="AF70" s="2056"/>
      <c r="AG70" s="2056"/>
      <c r="AH70" s="2056"/>
      <c r="AI70" s="2056"/>
      <c r="AJ70" s="2056"/>
      <c r="AK70" s="2056"/>
      <c r="AL70" s="2056"/>
      <c r="AM70" s="2056"/>
      <c r="AN70" s="2056"/>
      <c r="AO70" s="2056"/>
      <c r="AP70" s="2056"/>
      <c r="AQ70" s="2056"/>
      <c r="AR70" s="2056"/>
      <c r="AS70" s="2056"/>
      <c r="AT70" s="2056"/>
      <c r="AU70" s="2057"/>
      <c r="AV70" s="1190"/>
      <c r="AW70" s="1190"/>
      <c r="AX70" s="1190"/>
      <c r="AY70" s="1190"/>
      <c r="AZ70" s="1190"/>
      <c r="BA70" s="1190"/>
      <c r="BB70" s="1190"/>
      <c r="BC70" s="1190"/>
      <c r="BD70" s="1190"/>
      <c r="BE70" s="1194"/>
      <c r="BM70" s="1201" t="s">
        <v>669</v>
      </c>
    </row>
    <row r="71" spans="1:94" ht="15.75" customHeight="1" thickBot="1">
      <c r="A71" s="1190"/>
      <c r="B71" s="1995" t="s">
        <v>2390</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0"/>
      <c r="AC71" s="2058" t="s">
        <v>2389</v>
      </c>
      <c r="AD71" s="2059"/>
      <c r="AE71" s="2059"/>
      <c r="AF71" s="2052"/>
      <c r="AG71" s="2052"/>
      <c r="AH71" s="2052"/>
      <c r="AI71" s="2052"/>
      <c r="AJ71" s="2052"/>
      <c r="AK71" s="2052"/>
      <c r="AL71" s="2052"/>
      <c r="AM71" s="2052"/>
      <c r="AN71" s="2052"/>
      <c r="AO71" s="2052"/>
      <c r="AP71" s="2052"/>
      <c r="AQ71" s="2052"/>
      <c r="AR71" s="2052"/>
      <c r="AS71" s="2052"/>
      <c r="AT71" s="2052"/>
      <c r="AU71" s="2053"/>
      <c r="AV71" s="1190"/>
      <c r="AW71" s="1190"/>
      <c r="AX71" s="1190"/>
      <c r="AY71" s="1190"/>
      <c r="AZ71" s="1190"/>
      <c r="BA71" s="1190"/>
      <c r="BB71" s="1190"/>
      <c r="BC71" s="1190"/>
      <c r="BD71" s="1190"/>
      <c r="BE71" s="1194"/>
      <c r="BM71" s="1187" t="s">
        <v>2388</v>
      </c>
    </row>
    <row r="72" spans="1:94" ht="15.75" customHeight="1">
      <c r="A72" s="1190"/>
      <c r="B72" s="1995" t="s">
        <v>2387</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0"/>
      <c r="AC72" s="2078" t="s">
        <v>2386</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0"/>
      <c r="BE72" s="1194"/>
    </row>
    <row r="73" spans="1:94" ht="15.75" customHeight="1">
      <c r="A73" s="1190"/>
      <c r="B73" s="1999" t="s">
        <v>2385</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0"/>
      <c r="AC73" s="2080" t="s">
        <v>2330</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0"/>
      <c r="BE73" s="1194"/>
      <c r="CK73" s="1188"/>
      <c r="CL73" s="1188"/>
      <c r="CM73" s="1188"/>
      <c r="CN73" s="1188"/>
      <c r="CO73" s="1188"/>
      <c r="CP73" s="1188"/>
    </row>
    <row r="74" spans="1:94" ht="15.75" customHeight="1">
      <c r="A74" s="1190"/>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0"/>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0"/>
      <c r="BE74" s="1194"/>
      <c r="CK74" s="1188"/>
      <c r="CL74" s="1188"/>
      <c r="CM74" s="1188"/>
      <c r="CN74" s="1188"/>
      <c r="CO74" s="1188"/>
      <c r="CP74" s="1188"/>
    </row>
    <row r="75" spans="1:94" ht="15.75" customHeight="1" thickBot="1">
      <c r="A75" s="1190"/>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0"/>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2"/>
      <c r="G79" s="2063"/>
      <c r="H79" s="2063"/>
      <c r="I79" s="2063"/>
      <c r="J79" s="2063"/>
      <c r="K79" s="2063"/>
      <c r="L79" s="2063"/>
      <c r="M79" s="2063"/>
      <c r="N79" s="2063"/>
      <c r="O79" s="2063"/>
      <c r="P79" s="2063"/>
      <c r="Q79" s="2063"/>
      <c r="R79" s="2063"/>
      <c r="S79" s="2063"/>
      <c r="T79" s="206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5" t="s">
        <v>2383</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0" t="s">
        <v>2382</v>
      </c>
      <c r="C81" s="2071"/>
      <c r="D81" s="2071"/>
      <c r="E81" s="2071"/>
      <c r="F81" s="2071"/>
      <c r="G81" s="2071"/>
      <c r="H81" s="2071"/>
      <c r="I81" s="2071"/>
      <c r="J81" s="2071"/>
      <c r="K81" s="2071"/>
      <c r="L81" s="2071"/>
      <c r="M81" s="2071"/>
      <c r="N81" s="2071"/>
      <c r="O81" s="2071"/>
      <c r="P81" s="2071"/>
      <c r="Q81" s="2071"/>
      <c r="R81" s="2072" t="s">
        <v>2188</v>
      </c>
      <c r="S81" s="2073"/>
      <c r="T81" s="207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5" t="s">
        <v>2381</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0"/>
      <c r="AJ83" s="2093" t="s">
        <v>2380</v>
      </c>
      <c r="AK83" s="2094"/>
      <c r="AL83" s="2094"/>
      <c r="AM83" s="2094"/>
      <c r="AN83" s="2094"/>
      <c r="AO83" s="2094"/>
      <c r="AP83" s="2094"/>
      <c r="AQ83" s="2094"/>
      <c r="AR83" s="2094"/>
      <c r="AS83" s="2094"/>
      <c r="AT83" s="2094"/>
      <c r="AU83" s="2094"/>
      <c r="AV83" s="2094"/>
      <c r="AW83" s="2094"/>
      <c r="AX83" s="2094"/>
      <c r="AY83" s="2097" t="s">
        <v>545</v>
      </c>
      <c r="AZ83" s="2097"/>
      <c r="BA83" s="2097"/>
      <c r="BB83" s="2098"/>
      <c r="BC83" s="1190"/>
      <c r="BD83" s="1190"/>
      <c r="BE83" s="1194"/>
      <c r="CK83" s="1188"/>
      <c r="CL83" s="1188"/>
      <c r="CM83" s="1188"/>
      <c r="CN83" s="1188"/>
      <c r="CO83" s="1188"/>
      <c r="CP83" s="1188"/>
    </row>
    <row r="84" spans="1:94" ht="15.75" customHeight="1">
      <c r="A84" s="1190"/>
      <c r="B84" s="2014"/>
      <c r="C84" s="2015"/>
      <c r="D84" s="2015"/>
      <c r="E84" s="2015"/>
      <c r="F84" s="2015"/>
      <c r="G84" s="2015"/>
      <c r="H84" s="2015"/>
      <c r="I84" s="2015" t="s">
        <v>2370</v>
      </c>
      <c r="J84" s="2015"/>
      <c r="K84" s="2015"/>
      <c r="L84" s="2015"/>
      <c r="M84" s="2015"/>
      <c r="N84" s="2015"/>
      <c r="O84" s="2015" t="s">
        <v>2346</v>
      </c>
      <c r="P84" s="2015"/>
      <c r="Q84" s="2015"/>
      <c r="R84" s="2015"/>
      <c r="S84" s="2015"/>
      <c r="T84" s="2015"/>
      <c r="U84" s="2015"/>
      <c r="V84" s="2101" t="s">
        <v>2345</v>
      </c>
      <c r="W84" s="2101"/>
      <c r="X84" s="2101"/>
      <c r="Y84" s="2101"/>
      <c r="Z84" s="2101"/>
      <c r="AA84" s="2101"/>
      <c r="AB84" s="2102" t="s">
        <v>2369</v>
      </c>
      <c r="AC84" s="2102"/>
      <c r="AD84" s="2102"/>
      <c r="AE84" s="2102"/>
      <c r="AF84" s="2102"/>
      <c r="AG84" s="2102"/>
      <c r="AH84" s="2103"/>
      <c r="AI84" s="1190"/>
      <c r="AJ84" s="2095"/>
      <c r="AK84" s="2096"/>
      <c r="AL84" s="2096"/>
      <c r="AM84" s="2096"/>
      <c r="AN84" s="2096"/>
      <c r="AO84" s="2096"/>
      <c r="AP84" s="2096"/>
      <c r="AQ84" s="2096"/>
      <c r="AR84" s="2096"/>
      <c r="AS84" s="2096"/>
      <c r="AT84" s="2096"/>
      <c r="AU84" s="2096"/>
      <c r="AV84" s="2096"/>
      <c r="AW84" s="2096"/>
      <c r="AX84" s="2096"/>
      <c r="AY84" s="2099"/>
      <c r="AZ84" s="2099"/>
      <c r="BA84" s="2099"/>
      <c r="BB84" s="2100"/>
      <c r="BC84" s="1190"/>
      <c r="BD84" s="1190"/>
      <c r="BE84" s="1194"/>
      <c r="CK84" s="1188"/>
      <c r="CL84" s="1188"/>
      <c r="CM84" s="1188"/>
      <c r="CN84" s="1188"/>
      <c r="CO84" s="1188"/>
      <c r="CP84" s="1188"/>
    </row>
    <row r="85" spans="1:94" ht="15.75" customHeight="1">
      <c r="A85" s="1190"/>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0"/>
      <c r="AJ85" s="2095"/>
      <c r="AK85" s="2096"/>
      <c r="AL85" s="2096"/>
      <c r="AM85" s="2096"/>
      <c r="AN85" s="2096"/>
      <c r="AO85" s="2096"/>
      <c r="AP85" s="2096"/>
      <c r="AQ85" s="2096"/>
      <c r="AR85" s="2096"/>
      <c r="AS85" s="2096"/>
      <c r="AT85" s="2096"/>
      <c r="AU85" s="2096"/>
      <c r="AV85" s="2096"/>
      <c r="AW85" s="2096"/>
      <c r="AX85" s="2096"/>
      <c r="AY85" s="2099"/>
      <c r="AZ85" s="2099"/>
      <c r="BA85" s="2099"/>
      <c r="BB85" s="2100"/>
      <c r="BC85" s="1190"/>
      <c r="BD85" s="1190"/>
      <c r="BE85" s="1194"/>
      <c r="CK85" s="1188"/>
      <c r="CL85" s="1188"/>
      <c r="CM85" s="1188"/>
      <c r="CN85" s="1188"/>
      <c r="CO85" s="1188"/>
      <c r="CP85" s="1188"/>
    </row>
    <row r="86" spans="1:94" ht="15.75" customHeight="1">
      <c r="A86" s="1190"/>
      <c r="B86" s="2014" t="s">
        <v>2368</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0"/>
      <c r="AJ86" s="2095"/>
      <c r="AK86" s="2096"/>
      <c r="AL86" s="2096"/>
      <c r="AM86" s="2096"/>
      <c r="AN86" s="2096"/>
      <c r="AO86" s="2096"/>
      <c r="AP86" s="2096"/>
      <c r="AQ86" s="2096"/>
      <c r="AR86" s="2096"/>
      <c r="AS86" s="2096"/>
      <c r="AT86" s="2096"/>
      <c r="AU86" s="2096"/>
      <c r="AV86" s="2096"/>
      <c r="AW86" s="2096"/>
      <c r="AX86" s="2096"/>
      <c r="AY86" s="2099"/>
      <c r="AZ86" s="2099"/>
      <c r="BA86" s="2099"/>
      <c r="BB86" s="2100"/>
      <c r="BC86" s="1190"/>
      <c r="BD86" s="1190"/>
      <c r="BE86" s="1194"/>
      <c r="CK86" s="1188"/>
      <c r="CL86" s="1188"/>
      <c r="CM86" s="1188"/>
      <c r="CN86" s="1188"/>
      <c r="CO86" s="1188"/>
      <c r="CP86" s="1188"/>
    </row>
    <row r="87" spans="1:94" ht="15.75" customHeight="1">
      <c r="A87" s="1190"/>
      <c r="B87" s="2014" t="s">
        <v>2367</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0"/>
      <c r="AJ87" s="2080" t="s">
        <v>2374</v>
      </c>
      <c r="AK87" s="2081"/>
      <c r="AL87" s="2081"/>
      <c r="AM87" s="2081"/>
      <c r="AN87" s="2081"/>
      <c r="AO87" s="2081"/>
      <c r="AP87" s="2081"/>
      <c r="AQ87" s="2081"/>
      <c r="AR87" s="2081"/>
      <c r="AS87" s="2081"/>
      <c r="AT87" s="2081"/>
      <c r="AU87" s="2081"/>
      <c r="AV87" s="2081"/>
      <c r="AW87" s="2081"/>
      <c r="AX87" s="2081"/>
      <c r="AY87" s="2081"/>
      <c r="AZ87" s="2081"/>
      <c r="BA87" s="2081"/>
      <c r="BB87" s="2082"/>
      <c r="BC87" s="1190"/>
      <c r="BD87" s="1190"/>
      <c r="BE87" s="1194"/>
      <c r="CK87" s="1188"/>
      <c r="CL87" s="1188"/>
      <c r="CM87" s="1188"/>
      <c r="CN87" s="1188"/>
      <c r="CO87" s="1188"/>
      <c r="CP87" s="1188"/>
    </row>
    <row r="88" spans="1:94" ht="15.75" customHeight="1" thickBot="1">
      <c r="A88" s="1190"/>
      <c r="B88" s="2032" t="s">
        <v>2366</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0"/>
      <c r="AJ88" s="2083"/>
      <c r="AK88" s="2084"/>
      <c r="AL88" s="2084"/>
      <c r="AM88" s="2084"/>
      <c r="AN88" s="2084"/>
      <c r="AO88" s="2084"/>
      <c r="AP88" s="2084"/>
      <c r="AQ88" s="2084"/>
      <c r="AR88" s="2084"/>
      <c r="AS88" s="2084"/>
      <c r="AT88" s="2084"/>
      <c r="AU88" s="2084"/>
      <c r="AV88" s="2084"/>
      <c r="AW88" s="2084"/>
      <c r="AX88" s="2084"/>
      <c r="AY88" s="2084"/>
      <c r="AZ88" s="2084"/>
      <c r="BA88" s="2084"/>
      <c r="BB88" s="208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2"/>
      <c r="G92" s="2063"/>
      <c r="H92" s="2063"/>
      <c r="I92" s="2063"/>
      <c r="J92" s="2063"/>
      <c r="K92" s="2063"/>
      <c r="L92" s="2063"/>
      <c r="M92" s="2063"/>
      <c r="N92" s="2063"/>
      <c r="O92" s="2063"/>
      <c r="P92" s="2063"/>
      <c r="Q92" s="2063"/>
      <c r="R92" s="2063"/>
      <c r="S92" s="2063"/>
      <c r="T92" s="206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5" t="s">
        <v>2378</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0" t="s">
        <v>2377</v>
      </c>
      <c r="C94" s="2071"/>
      <c r="D94" s="2071"/>
      <c r="E94" s="2071"/>
      <c r="F94" s="2071"/>
      <c r="G94" s="2071"/>
      <c r="H94" s="2071"/>
      <c r="I94" s="2071"/>
      <c r="J94" s="2071"/>
      <c r="K94" s="2071"/>
      <c r="L94" s="2071"/>
      <c r="M94" s="2071"/>
      <c r="N94" s="2071"/>
      <c r="O94" s="2071"/>
      <c r="P94" s="2071"/>
      <c r="Q94" s="2105"/>
      <c r="R94" s="2072" t="s">
        <v>2188</v>
      </c>
      <c r="S94" s="2073"/>
      <c r="T94" s="207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5" t="s">
        <v>2376</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0"/>
      <c r="AJ96" s="2093" t="s">
        <v>2375</v>
      </c>
      <c r="AK96" s="2094"/>
      <c r="AL96" s="2094"/>
      <c r="AM96" s="2094"/>
      <c r="AN96" s="2094"/>
      <c r="AO96" s="2094"/>
      <c r="AP96" s="2094"/>
      <c r="AQ96" s="2094"/>
      <c r="AR96" s="2094"/>
      <c r="AS96" s="2094"/>
      <c r="AT96" s="2094"/>
      <c r="AU96" s="2094"/>
      <c r="AV96" s="2094"/>
      <c r="AW96" s="2094"/>
      <c r="AX96" s="2094"/>
      <c r="AY96" s="2097" t="s">
        <v>545</v>
      </c>
      <c r="AZ96" s="2097"/>
      <c r="BA96" s="2097"/>
      <c r="BB96" s="2098"/>
      <c r="BC96" s="1190"/>
      <c r="BD96" s="1190"/>
      <c r="BE96" s="1194"/>
      <c r="BQ96" s="1256" t="str">
        <f>Application!M243&amp;IF(TRIM(Application!AA249)&lt;&gt;""," ("&amp;Application!AA249&amp;")","")</f>
        <v>Vintage Housing Holdings, LLC</v>
      </c>
      <c r="BR96" s="1259">
        <f>Application!AH246</f>
        <v>8.9999999999999993E-3</v>
      </c>
      <c r="CM96" s="1188"/>
      <c r="CN96" s="1188"/>
      <c r="CO96" s="1188"/>
      <c r="CP96" s="1188"/>
    </row>
    <row r="97" spans="1:94" ht="15.75" customHeight="1">
      <c r="A97" s="1190"/>
      <c r="B97" s="2014"/>
      <c r="C97" s="2015"/>
      <c r="D97" s="2015"/>
      <c r="E97" s="2015"/>
      <c r="F97" s="2015"/>
      <c r="G97" s="2015"/>
      <c r="H97" s="2015"/>
      <c r="I97" s="2015" t="s">
        <v>2370</v>
      </c>
      <c r="J97" s="2015"/>
      <c r="K97" s="2015"/>
      <c r="L97" s="2015"/>
      <c r="M97" s="2015"/>
      <c r="N97" s="2015"/>
      <c r="O97" s="2015" t="s">
        <v>2346</v>
      </c>
      <c r="P97" s="2015"/>
      <c r="Q97" s="2015"/>
      <c r="R97" s="2015"/>
      <c r="S97" s="2015"/>
      <c r="T97" s="2015"/>
      <c r="U97" s="2015"/>
      <c r="V97" s="2101" t="s">
        <v>2345</v>
      </c>
      <c r="W97" s="2101"/>
      <c r="X97" s="2101"/>
      <c r="Y97" s="2101"/>
      <c r="Z97" s="2101"/>
      <c r="AA97" s="2101"/>
      <c r="AB97" s="2102" t="s">
        <v>2369</v>
      </c>
      <c r="AC97" s="2102"/>
      <c r="AD97" s="2102"/>
      <c r="AE97" s="2102"/>
      <c r="AF97" s="2102"/>
      <c r="AG97" s="2102"/>
      <c r="AH97" s="2103"/>
      <c r="AI97" s="1190"/>
      <c r="AJ97" s="2095"/>
      <c r="AK97" s="2096"/>
      <c r="AL97" s="2096"/>
      <c r="AM97" s="2096"/>
      <c r="AN97" s="2096"/>
      <c r="AO97" s="2096"/>
      <c r="AP97" s="2096"/>
      <c r="AQ97" s="2096"/>
      <c r="AR97" s="2096"/>
      <c r="AS97" s="2096"/>
      <c r="AT97" s="2096"/>
      <c r="AU97" s="2096"/>
      <c r="AV97" s="2096"/>
      <c r="AW97" s="2096"/>
      <c r="AX97" s="2096"/>
      <c r="AY97" s="2099"/>
      <c r="AZ97" s="2099"/>
      <c r="BA97" s="2099"/>
      <c r="BB97" s="2100"/>
      <c r="BC97" s="1190"/>
      <c r="BD97" s="1190"/>
      <c r="BE97" s="1194"/>
      <c r="BQ97" s="1256" t="str">
        <f>Application!M251&amp;IF(TRIM(Application!AA257)&lt;&gt;""," ("&amp;Application!AA257&amp;")","")</f>
        <v>Hearthstone/PWC JV, LLC (Hearthstone Housing Foundation)</v>
      </c>
      <c r="BR97" s="1259">
        <f>Application!AH254</f>
        <v>1E-3</v>
      </c>
      <c r="CM97" s="1188"/>
      <c r="CN97" s="1188"/>
      <c r="CO97" s="1188"/>
      <c r="CP97" s="1188"/>
    </row>
    <row r="98" spans="1:94" ht="15.75" customHeight="1">
      <c r="A98" s="1190"/>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0"/>
      <c r="AJ98" s="2095"/>
      <c r="AK98" s="2096"/>
      <c r="AL98" s="2096"/>
      <c r="AM98" s="2096"/>
      <c r="AN98" s="2096"/>
      <c r="AO98" s="2096"/>
      <c r="AP98" s="2096"/>
      <c r="AQ98" s="2096"/>
      <c r="AR98" s="2096"/>
      <c r="AS98" s="2096"/>
      <c r="AT98" s="2096"/>
      <c r="AU98" s="2096"/>
      <c r="AV98" s="2096"/>
      <c r="AW98" s="2096"/>
      <c r="AX98" s="2096"/>
      <c r="AY98" s="2099"/>
      <c r="AZ98" s="2099"/>
      <c r="BA98" s="2099"/>
      <c r="BB98" s="210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4" t="s">
        <v>2368</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0"/>
      <c r="AJ99" s="2095"/>
      <c r="AK99" s="2096"/>
      <c r="AL99" s="2096"/>
      <c r="AM99" s="2096"/>
      <c r="AN99" s="2096"/>
      <c r="AO99" s="2096"/>
      <c r="AP99" s="2096"/>
      <c r="AQ99" s="2096"/>
      <c r="AR99" s="2096"/>
      <c r="AS99" s="2096"/>
      <c r="AT99" s="2096"/>
      <c r="AU99" s="2096"/>
      <c r="AV99" s="2096"/>
      <c r="AW99" s="2096"/>
      <c r="AX99" s="2096"/>
      <c r="AY99" s="2099"/>
      <c r="AZ99" s="2099"/>
      <c r="BA99" s="2099"/>
      <c r="BB99" s="2100"/>
      <c r="BC99" s="1190"/>
      <c r="BD99" s="1190"/>
      <c r="BE99" s="1194"/>
      <c r="CM99" s="1188"/>
      <c r="CN99" s="1188"/>
      <c r="CO99" s="1188"/>
      <c r="CP99" s="1188"/>
    </row>
    <row r="100" spans="1:94" ht="15.75" customHeight="1">
      <c r="A100" s="1190"/>
      <c r="B100" s="2014" t="s">
        <v>2367</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0"/>
      <c r="AJ100" s="2080" t="s">
        <v>2374</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0"/>
      <c r="BD100" s="1190"/>
      <c r="BE100" s="1194"/>
      <c r="CM100" s="1188"/>
      <c r="CN100" s="1188"/>
      <c r="CO100" s="1188"/>
      <c r="CP100" s="1188"/>
    </row>
    <row r="101" spans="1:94" ht="15.75" customHeight="1" thickBot="1">
      <c r="A101" s="1190"/>
      <c r="B101" s="2032" t="s">
        <v>2366</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0"/>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0"/>
      <c r="BD101" s="1190"/>
      <c r="BE101" s="1194"/>
      <c r="BQ101" s="1256" t="str">
        <f>Application!AA335</f>
        <v>FPI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8"/>
      <c r="G104" s="2109"/>
      <c r="H104" s="2109"/>
      <c r="I104" s="2109"/>
      <c r="J104" s="2109"/>
      <c r="K104" s="2109"/>
      <c r="L104" s="2109"/>
      <c r="M104" s="2109"/>
      <c r="N104" s="2109"/>
      <c r="O104" s="2109"/>
      <c r="P104" s="2109"/>
      <c r="Q104" s="2109"/>
      <c r="R104" s="211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2" t="str">
        <f>IFERROR(INDEX(BR96:BR98,MATCH(F104,$BQ$96:$BQ$98,0))/SUM($BR$96:$BR$98),"")</f>
        <v/>
      </c>
      <c r="P105" s="2073"/>
      <c r="Q105" s="2073"/>
      <c r="R105" s="207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0" t="s">
        <v>2371</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4"/>
      <c r="C108" s="2015"/>
      <c r="D108" s="2015"/>
      <c r="E108" s="2015"/>
      <c r="F108" s="2015"/>
      <c r="G108" s="2015"/>
      <c r="H108" s="2015"/>
      <c r="I108" s="2015" t="s">
        <v>2370</v>
      </c>
      <c r="J108" s="2015"/>
      <c r="K108" s="2015"/>
      <c r="L108" s="2015"/>
      <c r="M108" s="2015"/>
      <c r="N108" s="2015"/>
      <c r="O108" s="2015" t="s">
        <v>2346</v>
      </c>
      <c r="P108" s="2015"/>
      <c r="Q108" s="2015"/>
      <c r="R108" s="2015"/>
      <c r="S108" s="2015"/>
      <c r="T108" s="2015"/>
      <c r="U108" s="2015"/>
      <c r="V108" s="2101" t="s">
        <v>2345</v>
      </c>
      <c r="W108" s="2101"/>
      <c r="X108" s="2101"/>
      <c r="Y108" s="2101"/>
      <c r="Z108" s="2101"/>
      <c r="AA108" s="2101"/>
      <c r="AB108" s="2102" t="s">
        <v>2369</v>
      </c>
      <c r="AC108" s="2102"/>
      <c r="AD108" s="2102"/>
      <c r="AE108" s="2102"/>
      <c r="AF108" s="2102"/>
      <c r="AG108" s="2102"/>
      <c r="AH108" s="210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4" t="s">
        <v>2368</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4" t="s">
        <v>2367</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2" t="s">
        <v>2366</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8"/>
      <c r="G115" s="2109"/>
      <c r="H115" s="2109"/>
      <c r="I115" s="2109"/>
      <c r="J115" s="2109"/>
      <c r="K115" s="2109"/>
      <c r="L115" s="2109"/>
      <c r="M115" s="2109"/>
      <c r="N115" s="2109"/>
      <c r="O115" s="2109"/>
      <c r="P115" s="2109"/>
      <c r="Q115" s="2109"/>
      <c r="R115" s="211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0" t="s">
        <v>2364</v>
      </c>
      <c r="C117" s="2121"/>
      <c r="D117" s="2121"/>
      <c r="E117" s="2121"/>
      <c r="F117" s="2121"/>
      <c r="G117" s="2121"/>
      <c r="H117" s="2121"/>
      <c r="I117" s="2121"/>
      <c r="J117" s="2121"/>
      <c r="K117" s="2121"/>
      <c r="L117" s="2121"/>
      <c r="M117" s="2121"/>
      <c r="N117" s="2121"/>
      <c r="O117" s="2121"/>
      <c r="P117" s="2121"/>
      <c r="Q117" s="2121"/>
      <c r="R117" s="2121"/>
      <c r="S117" s="2121"/>
      <c r="T117" s="2121"/>
      <c r="U117" s="2124" t="s">
        <v>545</v>
      </c>
      <c r="V117" s="2124"/>
      <c r="W117" s="2124"/>
      <c r="X117" s="212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8" t="s">
        <v>2364</v>
      </c>
      <c r="C121" s="2129"/>
      <c r="D121" s="2129"/>
      <c r="E121" s="2129"/>
      <c r="F121" s="2129"/>
      <c r="G121" s="2129"/>
      <c r="H121" s="2129"/>
      <c r="I121" s="2129"/>
      <c r="J121" s="2129"/>
      <c r="K121" s="2129"/>
      <c r="L121" s="2129"/>
      <c r="M121" s="2129"/>
      <c r="N121" s="2129"/>
      <c r="O121" s="2129"/>
      <c r="P121" s="2129"/>
      <c r="Q121" s="2129"/>
      <c r="R121" s="2129"/>
      <c r="S121" s="2129"/>
      <c r="T121" s="2129"/>
      <c r="U121" s="2132" t="s">
        <v>545</v>
      </c>
      <c r="V121" s="2132"/>
      <c r="W121" s="2132"/>
      <c r="X121" s="213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3" t="s">
        <v>2362</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6"/>
      <c r="BE125" s="1194"/>
    </row>
    <row r="126" spans="1:57" ht="15.75" customHeight="1">
      <c r="A126" s="1190"/>
      <c r="B126" s="2138" t="s">
        <v>1576</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90"/>
      <c r="W126" s="1190"/>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37"/>
      <c r="BE126" s="1194"/>
    </row>
    <row r="127" spans="1:57" ht="15.75" customHeight="1">
      <c r="A127" s="1190"/>
      <c r="B127" s="2156"/>
      <c r="C127" s="2157"/>
      <c r="D127" s="2157"/>
      <c r="E127" s="2157"/>
      <c r="F127" s="2157"/>
      <c r="G127" s="2157"/>
      <c r="H127" s="2157"/>
      <c r="I127" s="2015" t="s">
        <v>2361</v>
      </c>
      <c r="J127" s="2015"/>
      <c r="K127" s="2015"/>
      <c r="L127" s="2015"/>
      <c r="M127" s="2015"/>
      <c r="N127" s="2015"/>
      <c r="O127" s="2112" t="s">
        <v>2360</v>
      </c>
      <c r="P127" s="2112"/>
      <c r="Q127" s="2112"/>
      <c r="R127" s="2112"/>
      <c r="S127" s="2112"/>
      <c r="T127" s="2112"/>
      <c r="U127" s="2113"/>
      <c r="V127" s="1190"/>
      <c r="W127" s="1190"/>
      <c r="X127" s="2080" t="s">
        <v>2330</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4"/>
    </row>
    <row r="128" spans="1:57" ht="15.75" customHeight="1">
      <c r="A128" s="1190"/>
      <c r="B128" s="2114" t="s">
        <v>2344</v>
      </c>
      <c r="C128" s="2115"/>
      <c r="D128" s="2115"/>
      <c r="E128" s="2115"/>
      <c r="F128" s="2115"/>
      <c r="G128" s="2115"/>
      <c r="H128" s="2115"/>
      <c r="I128" s="2091">
        <v>0</v>
      </c>
      <c r="J128" s="2091"/>
      <c r="K128" s="2091"/>
      <c r="L128" s="2091"/>
      <c r="M128" s="2091"/>
      <c r="N128" s="2091"/>
      <c r="O128" s="2091">
        <v>0</v>
      </c>
      <c r="P128" s="2091"/>
      <c r="Q128" s="2091"/>
      <c r="R128" s="2091"/>
      <c r="S128" s="2091"/>
      <c r="T128" s="2091"/>
      <c r="U128" s="2092"/>
      <c r="V128" s="1190"/>
      <c r="W128" s="1190"/>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4"/>
    </row>
    <row r="129" spans="1:57" ht="15.75" customHeight="1" thickBot="1">
      <c r="A129" s="1190"/>
      <c r="B129" s="2116" t="s">
        <v>2343</v>
      </c>
      <c r="C129" s="2117"/>
      <c r="D129" s="2117"/>
      <c r="E129" s="2117"/>
      <c r="F129" s="2117"/>
      <c r="G129" s="2117"/>
      <c r="H129" s="2117"/>
      <c r="I129" s="2106">
        <v>0</v>
      </c>
      <c r="J129" s="2106"/>
      <c r="K129" s="2106"/>
      <c r="L129" s="2106"/>
      <c r="M129" s="2106"/>
      <c r="N129" s="2106"/>
      <c r="O129" s="2118"/>
      <c r="P129" s="2118"/>
      <c r="Q129" s="2118"/>
      <c r="R129" s="2118"/>
      <c r="S129" s="2118"/>
      <c r="T129" s="2118"/>
      <c r="U129" s="2119"/>
      <c r="V129" s="1190"/>
      <c r="W129" s="1190"/>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4"/>
    </row>
    <row r="133" spans="1:57" ht="15.75" customHeight="1">
      <c r="A133" s="1190"/>
      <c r="B133" s="1916" t="s">
        <v>2358</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0"/>
      <c r="W133" s="1190"/>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4"/>
    </row>
    <row r="134" spans="1:57" ht="15.75" customHeight="1">
      <c r="A134" s="1190"/>
      <c r="B134" s="2156"/>
      <c r="C134" s="2157"/>
      <c r="D134" s="2157"/>
      <c r="E134" s="2157"/>
      <c r="F134" s="2157"/>
      <c r="G134" s="2157"/>
      <c r="H134" s="2157"/>
      <c r="I134" s="2158" t="s">
        <v>2346</v>
      </c>
      <c r="J134" s="2158"/>
      <c r="K134" s="2158"/>
      <c r="L134" s="2158"/>
      <c r="M134" s="2158"/>
      <c r="N134" s="2158"/>
      <c r="O134" s="2158"/>
      <c r="P134" s="2158" t="s">
        <v>2345</v>
      </c>
      <c r="Q134" s="2158"/>
      <c r="R134" s="2158"/>
      <c r="S134" s="2158"/>
      <c r="T134" s="2158"/>
      <c r="U134" s="2159"/>
      <c r="V134" s="1190"/>
      <c r="W134" s="1190"/>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4"/>
    </row>
    <row r="135" spans="1:57" ht="15.75" customHeight="1">
      <c r="A135" s="1190"/>
      <c r="B135" s="2156"/>
      <c r="C135" s="2157"/>
      <c r="D135" s="2157"/>
      <c r="E135" s="2157"/>
      <c r="F135" s="2157"/>
      <c r="G135" s="2157"/>
      <c r="H135" s="2157"/>
      <c r="I135" s="2158"/>
      <c r="J135" s="2158"/>
      <c r="K135" s="2158"/>
      <c r="L135" s="2158"/>
      <c r="M135" s="2158"/>
      <c r="N135" s="2158"/>
      <c r="O135" s="2158"/>
      <c r="P135" s="2158"/>
      <c r="Q135" s="2158"/>
      <c r="R135" s="2158"/>
      <c r="S135" s="2158"/>
      <c r="T135" s="2158"/>
      <c r="U135" s="2159"/>
      <c r="V135" s="1190"/>
      <c r="W135" s="1190"/>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4"/>
    </row>
    <row r="136" spans="1:57" ht="15.75" customHeight="1">
      <c r="A136" s="1190"/>
      <c r="B136" s="2114" t="s">
        <v>2344</v>
      </c>
      <c r="C136" s="2115"/>
      <c r="D136" s="2115"/>
      <c r="E136" s="2115"/>
      <c r="F136" s="2115"/>
      <c r="G136" s="2115"/>
      <c r="H136" s="2115"/>
      <c r="I136" s="2091">
        <v>0</v>
      </c>
      <c r="J136" s="2091"/>
      <c r="K136" s="2091"/>
      <c r="L136" s="2091"/>
      <c r="M136" s="2091"/>
      <c r="N136" s="2091"/>
      <c r="O136" s="2091"/>
      <c r="P136" s="2091">
        <v>0</v>
      </c>
      <c r="Q136" s="2091"/>
      <c r="R136" s="2091"/>
      <c r="S136" s="2091"/>
      <c r="T136" s="2091"/>
      <c r="U136" s="2092"/>
      <c r="V136" s="1190"/>
      <c r="W136" s="1190"/>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4"/>
    </row>
    <row r="137" spans="1:57" ht="15.75" customHeight="1" thickBot="1">
      <c r="A137" s="1190"/>
      <c r="B137" s="2116" t="s">
        <v>2343</v>
      </c>
      <c r="C137" s="2117"/>
      <c r="D137" s="2117"/>
      <c r="E137" s="2117"/>
      <c r="F137" s="2117"/>
      <c r="G137" s="2117"/>
      <c r="H137" s="2117"/>
      <c r="I137" s="2106">
        <v>0</v>
      </c>
      <c r="J137" s="2106"/>
      <c r="K137" s="2106"/>
      <c r="L137" s="2106"/>
      <c r="M137" s="2106"/>
      <c r="N137" s="2106"/>
      <c r="O137" s="2106"/>
      <c r="P137" s="2106">
        <v>0</v>
      </c>
      <c r="Q137" s="2106"/>
      <c r="R137" s="2106"/>
      <c r="S137" s="2106"/>
      <c r="T137" s="2106"/>
      <c r="U137" s="2107"/>
      <c r="V137" s="1190"/>
      <c r="W137" s="1190"/>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4" t="s">
        <v>2357</v>
      </c>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039" t="s">
        <v>545</v>
      </c>
      <c r="AI139" s="2039"/>
      <c r="AJ139" s="2039"/>
      <c r="AK139" s="2039"/>
      <c r="AL139" s="2039"/>
      <c r="AM139" s="2039"/>
      <c r="AN139" s="2039"/>
      <c r="AO139" s="2039"/>
      <c r="AP139" s="2039"/>
      <c r="AQ139" s="2039"/>
      <c r="AR139" s="2039"/>
      <c r="AS139" s="2039"/>
      <c r="AT139" s="2039"/>
      <c r="AU139" s="2039"/>
      <c r="AV139" s="2039"/>
      <c r="AW139" s="2039"/>
      <c r="AX139" s="2040"/>
      <c r="AY139" s="1190"/>
      <c r="AZ139" s="1190"/>
      <c r="BA139" s="1190"/>
      <c r="BB139" s="1190"/>
      <c r="BC139" s="1190"/>
      <c r="BD139" s="1190"/>
      <c r="BE139" s="1194"/>
    </row>
    <row r="140" spans="1:57" ht="15.75" customHeight="1" thickBot="1">
      <c r="A140" s="1190"/>
      <c r="B140" s="2141" t="s">
        <v>2356</v>
      </c>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3"/>
      <c r="AH140" s="2108"/>
      <c r="AI140" s="2109"/>
      <c r="AJ140" s="2109"/>
      <c r="AK140" s="2109"/>
      <c r="AL140" s="2109"/>
      <c r="AM140" s="2109"/>
      <c r="AN140" s="2109"/>
      <c r="AO140" s="2109"/>
      <c r="AP140" s="2109"/>
      <c r="AQ140" s="2109"/>
      <c r="AR140" s="2109"/>
      <c r="AS140" s="2109"/>
      <c r="AT140" s="2109"/>
      <c r="AU140" s="2109"/>
      <c r="AV140" s="2109"/>
      <c r="AW140" s="2109"/>
      <c r="AX140" s="2110"/>
      <c r="AY140" s="1190"/>
      <c r="AZ140" s="1190"/>
      <c r="BA140" s="1190"/>
      <c r="BB140" s="1190"/>
      <c r="BC140" s="1190"/>
      <c r="BD140" s="1190"/>
      <c r="BE140" s="1194"/>
    </row>
    <row r="141" spans="1:57" ht="15.75" customHeight="1">
      <c r="A141" s="1190"/>
      <c r="B141" s="2141" t="s">
        <v>2355</v>
      </c>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3"/>
      <c r="AH141" s="2039" t="s">
        <v>545</v>
      </c>
      <c r="AI141" s="2039"/>
      <c r="AJ141" s="2039"/>
      <c r="AK141" s="2039"/>
      <c r="AL141" s="2039"/>
      <c r="AM141" s="2039"/>
      <c r="AN141" s="2039"/>
      <c r="AO141" s="2039"/>
      <c r="AP141" s="2039"/>
      <c r="AQ141" s="2039"/>
      <c r="AR141" s="2039"/>
      <c r="AS141" s="2039"/>
      <c r="AT141" s="2039"/>
      <c r="AU141" s="2039"/>
      <c r="AV141" s="2039"/>
      <c r="AW141" s="2039"/>
      <c r="AX141" s="2040"/>
      <c r="AY141" s="1190"/>
      <c r="AZ141" s="1190"/>
      <c r="BA141" s="1190"/>
      <c r="BB141" s="1190"/>
      <c r="BC141" s="1190"/>
      <c r="BD141" s="1190"/>
      <c r="BE141" s="1194"/>
    </row>
    <row r="142" spans="1:57" ht="15.75" customHeight="1">
      <c r="A142" s="1190"/>
      <c r="B142" s="2144" t="s">
        <v>2354</v>
      </c>
      <c r="C142" s="2145"/>
      <c r="D142" s="2145"/>
      <c r="E142" s="2145"/>
      <c r="F142" s="2145"/>
      <c r="G142" s="2145"/>
      <c r="H142" s="2145"/>
      <c r="I142" s="2145"/>
      <c r="J142" s="2145"/>
      <c r="K142" s="2145"/>
      <c r="L142" s="2145"/>
      <c r="M142" s="2145"/>
      <c r="N142" s="2145"/>
      <c r="O142" s="2145"/>
      <c r="P142" s="2145"/>
      <c r="Q142" s="2145"/>
      <c r="R142" s="2146" t="s">
        <v>2353</v>
      </c>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190"/>
      <c r="AZ142" s="1190"/>
      <c r="BA142" s="1190"/>
      <c r="BB142" s="1190"/>
      <c r="BC142" s="1190" t="s">
        <v>250</v>
      </c>
      <c r="BD142" s="1190"/>
      <c r="BE142" s="1194"/>
    </row>
    <row r="143" spans="1:57" ht="15.75" customHeight="1">
      <c r="A143" s="1190"/>
      <c r="B143" s="2148" t="s">
        <v>2352</v>
      </c>
      <c r="C143" s="2149"/>
      <c r="D143" s="2149"/>
      <c r="E143" s="2149"/>
      <c r="F143" s="2149"/>
      <c r="G143" s="2149"/>
      <c r="H143" s="2149"/>
      <c r="I143" s="2149"/>
      <c r="J143" s="2149"/>
      <c r="K143" s="2149"/>
      <c r="L143" s="2149"/>
      <c r="M143" s="2149"/>
      <c r="N143" s="2149"/>
      <c r="O143" s="2149"/>
      <c r="P143" s="2149"/>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50"/>
      <c r="AY143" s="1190"/>
      <c r="AZ143" s="1190"/>
      <c r="BA143" s="1190"/>
      <c r="BB143" s="1190"/>
      <c r="BC143" s="1190"/>
      <c r="BD143" s="1190"/>
      <c r="BE143" s="1194"/>
    </row>
    <row r="144" spans="1:57" ht="15.75" customHeight="1">
      <c r="A144" s="1190"/>
      <c r="B144" s="2148"/>
      <c r="C144" s="2149"/>
      <c r="D144" s="2149"/>
      <c r="E144" s="2149"/>
      <c r="F144" s="2149"/>
      <c r="G144" s="2149"/>
      <c r="H144" s="2149"/>
      <c r="I144" s="2149"/>
      <c r="J144" s="2149"/>
      <c r="K144" s="2149"/>
      <c r="L144" s="2149"/>
      <c r="M144" s="2149"/>
      <c r="N144" s="2149"/>
      <c r="O144" s="2149"/>
      <c r="P144" s="2149"/>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50"/>
      <c r="AY144" s="1190"/>
      <c r="AZ144" s="1190"/>
      <c r="BA144" s="1190"/>
      <c r="BB144" s="1190"/>
      <c r="BC144" s="1190"/>
      <c r="BD144" s="1190"/>
      <c r="BE144" s="1194"/>
    </row>
    <row r="145" spans="1:57" ht="15.75" customHeight="1">
      <c r="A145" s="1190"/>
      <c r="B145" s="2148"/>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50"/>
      <c r="AY145" s="1190"/>
      <c r="AZ145" s="1190"/>
      <c r="BA145" s="1190"/>
      <c r="BB145" s="1190"/>
      <c r="BC145" s="1190"/>
      <c r="BD145" s="1190"/>
      <c r="BE145" s="1194"/>
    </row>
    <row r="146" spans="1:57" ht="15.75" customHeight="1">
      <c r="A146" s="1190"/>
      <c r="B146" s="2148"/>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50"/>
      <c r="AY146" s="1190"/>
      <c r="AZ146" s="1190"/>
      <c r="BA146" s="1190"/>
      <c r="BB146" s="1190"/>
      <c r="BC146" s="1190"/>
      <c r="BD146" s="1190"/>
      <c r="BE146" s="1194"/>
    </row>
    <row r="147" spans="1:57" ht="15.75" customHeight="1">
      <c r="A147" s="1190"/>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190"/>
      <c r="AZ147" s="1190"/>
      <c r="BA147" s="1190"/>
      <c r="BB147" s="1190"/>
      <c r="BC147" s="1190"/>
      <c r="BD147" s="1190"/>
      <c r="BE147" s="1194"/>
    </row>
    <row r="148" spans="1:57" ht="15.75" customHeight="1">
      <c r="A148" s="1190"/>
      <c r="B148" s="2148"/>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50"/>
      <c r="AY148" s="1190"/>
      <c r="AZ148" s="1190"/>
      <c r="BA148" s="1190"/>
      <c r="BB148" s="1190"/>
      <c r="BC148" s="1190"/>
      <c r="BD148" s="1190"/>
      <c r="BE148" s="1194"/>
    </row>
    <row r="149" spans="1:57" ht="15.75" customHeight="1">
      <c r="A149" s="1190"/>
      <c r="B149" s="2148"/>
      <c r="C149" s="2149"/>
      <c r="D149" s="2149"/>
      <c r="E149" s="2149"/>
      <c r="F149" s="2149"/>
      <c r="G149" s="2149"/>
      <c r="H149" s="2149"/>
      <c r="I149" s="2149"/>
      <c r="J149" s="2149"/>
      <c r="K149" s="2149"/>
      <c r="L149" s="2149"/>
      <c r="M149" s="2149"/>
      <c r="N149" s="2149"/>
      <c r="O149" s="2149"/>
      <c r="P149" s="2149"/>
      <c r="Q149" s="2149"/>
      <c r="R149" s="2149"/>
      <c r="S149" s="2149"/>
      <c r="T149" s="2149"/>
      <c r="U149" s="2149"/>
      <c r="V149" s="2149"/>
      <c r="W149" s="2149"/>
      <c r="X149" s="2149"/>
      <c r="Y149" s="2149"/>
      <c r="Z149" s="2149"/>
      <c r="AA149" s="2149"/>
      <c r="AB149" s="2149"/>
      <c r="AC149" s="2149"/>
      <c r="AD149" s="2149"/>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50"/>
      <c r="AY149" s="1190"/>
      <c r="AZ149" s="1190"/>
      <c r="BA149" s="1190"/>
      <c r="BB149" s="1190"/>
      <c r="BC149" s="1190"/>
      <c r="BD149" s="1190"/>
      <c r="BE149" s="1194"/>
    </row>
    <row r="150" spans="1:57" ht="15.75" customHeight="1">
      <c r="A150" s="1190"/>
      <c r="B150" s="2148"/>
      <c r="C150" s="2149"/>
      <c r="D150" s="2149"/>
      <c r="E150" s="2149"/>
      <c r="F150" s="2149"/>
      <c r="G150" s="2149"/>
      <c r="H150" s="2149"/>
      <c r="I150" s="2149"/>
      <c r="J150" s="2149"/>
      <c r="K150" s="2149"/>
      <c r="L150" s="2149"/>
      <c r="M150" s="2149"/>
      <c r="N150" s="2149"/>
      <c r="O150" s="2149"/>
      <c r="P150" s="2149"/>
      <c r="Q150" s="2149"/>
      <c r="R150" s="2149"/>
      <c r="S150" s="2149"/>
      <c r="T150" s="2149"/>
      <c r="U150" s="2149"/>
      <c r="V150" s="2149"/>
      <c r="W150" s="2149"/>
      <c r="X150" s="2149"/>
      <c r="Y150" s="2149"/>
      <c r="Z150" s="2149"/>
      <c r="AA150" s="2149"/>
      <c r="AB150" s="2149"/>
      <c r="AC150" s="2149"/>
      <c r="AD150" s="2149"/>
      <c r="AE150" s="2149"/>
      <c r="AF150" s="2149"/>
      <c r="AG150" s="2149"/>
      <c r="AH150" s="2149"/>
      <c r="AI150" s="2149"/>
      <c r="AJ150" s="2149"/>
      <c r="AK150" s="2149"/>
      <c r="AL150" s="2149"/>
      <c r="AM150" s="2149"/>
      <c r="AN150" s="2149"/>
      <c r="AO150" s="2149"/>
      <c r="AP150" s="2149"/>
      <c r="AQ150" s="2149"/>
      <c r="AR150" s="2149"/>
      <c r="AS150" s="2149"/>
      <c r="AT150" s="2149"/>
      <c r="AU150" s="2149"/>
      <c r="AV150" s="2149"/>
      <c r="AW150" s="2149"/>
      <c r="AX150" s="2150"/>
      <c r="AY150" s="1190"/>
      <c r="AZ150" s="1190"/>
      <c r="BA150" s="1190"/>
      <c r="BB150" s="1190"/>
      <c r="BC150" s="1190"/>
      <c r="BD150" s="1190"/>
      <c r="BE150" s="1194"/>
    </row>
    <row r="151" spans="1:57" ht="15.75" customHeight="1">
      <c r="A151" s="1190"/>
      <c r="B151" s="2148"/>
      <c r="C151" s="2149"/>
      <c r="D151" s="2149"/>
      <c r="E151" s="2149"/>
      <c r="F151" s="2149"/>
      <c r="G151" s="2149"/>
      <c r="H151" s="2149"/>
      <c r="I151" s="2149"/>
      <c r="J151" s="2149"/>
      <c r="K151" s="2149"/>
      <c r="L151" s="2149"/>
      <c r="M151" s="2149"/>
      <c r="N151" s="2149"/>
      <c r="O151" s="2149"/>
      <c r="P151" s="2149"/>
      <c r="Q151" s="2149"/>
      <c r="R151" s="2149"/>
      <c r="S151" s="2149"/>
      <c r="T151" s="2149"/>
      <c r="U151" s="2149"/>
      <c r="V151" s="2149"/>
      <c r="W151" s="2149"/>
      <c r="X151" s="2149"/>
      <c r="Y151" s="2149"/>
      <c r="Z151" s="2149"/>
      <c r="AA151" s="2149"/>
      <c r="AB151" s="2149"/>
      <c r="AC151" s="2149"/>
      <c r="AD151" s="2149"/>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50"/>
      <c r="AY151" s="1190"/>
      <c r="AZ151" s="1190"/>
      <c r="BA151" s="1190"/>
      <c r="BB151" s="1190"/>
      <c r="BC151" s="1190"/>
      <c r="BD151" s="1190"/>
      <c r="BE151" s="1194"/>
    </row>
    <row r="152" spans="1:57" ht="15.75" customHeight="1" thickBot="1">
      <c r="A152" s="1190"/>
      <c r="B152" s="2151"/>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K152" s="2152"/>
      <c r="AL152" s="2152"/>
      <c r="AM152" s="2152"/>
      <c r="AN152" s="2152"/>
      <c r="AO152" s="2152"/>
      <c r="AP152" s="2152"/>
      <c r="AQ152" s="2152"/>
      <c r="AR152" s="2152"/>
      <c r="AS152" s="2152"/>
      <c r="AT152" s="2152"/>
      <c r="AU152" s="2152"/>
      <c r="AV152" s="2152"/>
      <c r="AW152" s="2152"/>
      <c r="AX152" s="215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1" t="s">
        <v>2349</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0"/>
      <c r="W156" s="1192"/>
      <c r="X156" s="2011" t="s">
        <v>2348</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6"/>
      <c r="C157" s="2157"/>
      <c r="D157" s="2157"/>
      <c r="E157" s="2157"/>
      <c r="F157" s="2157"/>
      <c r="G157" s="2157"/>
      <c r="H157" s="2157"/>
      <c r="I157" s="2158" t="s">
        <v>2346</v>
      </c>
      <c r="J157" s="2158"/>
      <c r="K157" s="2158"/>
      <c r="L157" s="2158"/>
      <c r="M157" s="2158"/>
      <c r="N157" s="2158"/>
      <c r="O157" s="2158"/>
      <c r="P157" s="2158" t="s">
        <v>2347</v>
      </c>
      <c r="Q157" s="2158"/>
      <c r="R157" s="2158"/>
      <c r="S157" s="2158"/>
      <c r="T157" s="2158"/>
      <c r="U157" s="2159"/>
      <c r="V157" s="1190"/>
      <c r="W157" s="1190"/>
      <c r="X157" s="2156"/>
      <c r="Y157" s="2157"/>
      <c r="Z157" s="2157"/>
      <c r="AA157" s="2157"/>
      <c r="AB157" s="2157"/>
      <c r="AC157" s="2157"/>
      <c r="AD157" s="2157"/>
      <c r="AE157" s="2158" t="s">
        <v>2346</v>
      </c>
      <c r="AF157" s="2158"/>
      <c r="AG157" s="2158"/>
      <c r="AH157" s="2158"/>
      <c r="AI157" s="2158"/>
      <c r="AJ157" s="2158"/>
      <c r="AK157" s="2158"/>
      <c r="AL157" s="2158" t="s">
        <v>2345</v>
      </c>
      <c r="AM157" s="2158"/>
      <c r="AN157" s="2158"/>
      <c r="AO157" s="2158"/>
      <c r="AP157" s="2158"/>
      <c r="AQ157" s="215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6"/>
      <c r="C158" s="2157"/>
      <c r="D158" s="2157"/>
      <c r="E158" s="2157"/>
      <c r="F158" s="2157"/>
      <c r="G158" s="2157"/>
      <c r="H158" s="2157"/>
      <c r="I158" s="2158"/>
      <c r="J158" s="2158"/>
      <c r="K158" s="2158"/>
      <c r="L158" s="2158"/>
      <c r="M158" s="2158"/>
      <c r="N158" s="2158"/>
      <c r="O158" s="2158"/>
      <c r="P158" s="2158"/>
      <c r="Q158" s="2158"/>
      <c r="R158" s="2158"/>
      <c r="S158" s="2158"/>
      <c r="T158" s="2158"/>
      <c r="U158" s="2159"/>
      <c r="V158" s="1190"/>
      <c r="W158" s="1190"/>
      <c r="X158" s="2156"/>
      <c r="Y158" s="2157"/>
      <c r="Z158" s="2157"/>
      <c r="AA158" s="2157"/>
      <c r="AB158" s="2157"/>
      <c r="AC158" s="2157"/>
      <c r="AD158" s="2157"/>
      <c r="AE158" s="2158"/>
      <c r="AF158" s="2158"/>
      <c r="AG158" s="2158"/>
      <c r="AH158" s="2158"/>
      <c r="AI158" s="2158"/>
      <c r="AJ158" s="2158"/>
      <c r="AK158" s="2158"/>
      <c r="AL158" s="2158"/>
      <c r="AM158" s="2158"/>
      <c r="AN158" s="2158"/>
      <c r="AO158" s="2158"/>
      <c r="AP158" s="2158"/>
      <c r="AQ158" s="215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4" t="s">
        <v>2344</v>
      </c>
      <c r="C159" s="2115"/>
      <c r="D159" s="2115"/>
      <c r="E159" s="2115"/>
      <c r="F159" s="2115"/>
      <c r="G159" s="2115"/>
      <c r="H159" s="2115"/>
      <c r="I159" s="2091">
        <v>0</v>
      </c>
      <c r="J159" s="2091"/>
      <c r="K159" s="2091"/>
      <c r="L159" s="2091"/>
      <c r="M159" s="2091"/>
      <c r="N159" s="2091"/>
      <c r="O159" s="2091"/>
      <c r="P159" s="2091">
        <v>0</v>
      </c>
      <c r="Q159" s="2091"/>
      <c r="R159" s="2091"/>
      <c r="S159" s="2091"/>
      <c r="T159" s="2091"/>
      <c r="U159" s="2092"/>
      <c r="V159" s="1190"/>
      <c r="W159" s="1190"/>
      <c r="X159" s="2116" t="s">
        <v>2344</v>
      </c>
      <c r="Y159" s="2117"/>
      <c r="Z159" s="2117"/>
      <c r="AA159" s="2117"/>
      <c r="AB159" s="2117"/>
      <c r="AC159" s="2117"/>
      <c r="AD159" s="2117"/>
      <c r="AE159" s="2106">
        <v>0</v>
      </c>
      <c r="AF159" s="2106"/>
      <c r="AG159" s="2106"/>
      <c r="AH159" s="2106"/>
      <c r="AI159" s="2106"/>
      <c r="AJ159" s="2106"/>
      <c r="AK159" s="2106"/>
      <c r="AL159" s="2106">
        <v>0</v>
      </c>
      <c r="AM159" s="2106"/>
      <c r="AN159" s="2106"/>
      <c r="AO159" s="2106"/>
      <c r="AP159" s="2106"/>
      <c r="AQ159" s="210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6" t="s">
        <v>2343</v>
      </c>
      <c r="C160" s="2117"/>
      <c r="D160" s="2117"/>
      <c r="E160" s="2117"/>
      <c r="F160" s="2117"/>
      <c r="G160" s="2117"/>
      <c r="H160" s="2117"/>
      <c r="I160" s="2106">
        <v>0</v>
      </c>
      <c r="J160" s="2106"/>
      <c r="K160" s="2106"/>
      <c r="L160" s="2106"/>
      <c r="M160" s="2106"/>
      <c r="N160" s="2106"/>
      <c r="O160" s="2106"/>
      <c r="P160" s="2106">
        <v>0</v>
      </c>
      <c r="Q160" s="2106"/>
      <c r="R160" s="2106"/>
      <c r="S160" s="2106"/>
      <c r="T160" s="2106"/>
      <c r="U160" s="210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1" t="s">
        <v>2342</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6" t="s">
        <v>2327</v>
      </c>
      <c r="D163" s="2157"/>
      <c r="E163" s="2157"/>
      <c r="F163" s="2157"/>
      <c r="G163" s="2157"/>
      <c r="H163" s="2157"/>
      <c r="I163" s="2157"/>
      <c r="J163" s="2157"/>
      <c r="K163" s="2157"/>
      <c r="L163" s="2157"/>
      <c r="M163" s="2157"/>
      <c r="N163" s="2157"/>
      <c r="O163" s="2157"/>
      <c r="P163" s="2157"/>
      <c r="Q163" s="2157" t="s">
        <v>2341</v>
      </c>
      <c r="R163" s="2157"/>
      <c r="S163" s="2157"/>
      <c r="T163" s="2102" t="s">
        <v>2340</v>
      </c>
      <c r="U163" s="2102"/>
      <c r="V163" s="2102"/>
      <c r="W163" s="2102"/>
      <c r="X163" s="2102"/>
      <c r="Y163" s="2102"/>
      <c r="Z163" s="2102"/>
      <c r="AA163" s="2102"/>
      <c r="AB163" s="2157" t="s">
        <v>2339</v>
      </c>
      <c r="AC163" s="2157"/>
      <c r="AD163" s="2157"/>
      <c r="AE163" s="2157"/>
      <c r="AF163" s="2157"/>
      <c r="AG163" s="216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0" t="s">
        <v>2338</v>
      </c>
      <c r="D164" s="2161"/>
      <c r="E164" s="2161"/>
      <c r="F164" s="2161"/>
      <c r="G164" s="2161"/>
      <c r="H164" s="2161"/>
      <c r="I164" s="2161"/>
      <c r="J164" s="2161"/>
      <c r="K164" s="2161"/>
      <c r="L164" s="2161"/>
      <c r="M164" s="2161"/>
      <c r="N164" s="2161"/>
      <c r="O164" s="2161"/>
      <c r="P164" s="2161"/>
      <c r="Q164" s="2162">
        <v>55</v>
      </c>
      <c r="R164" s="2162"/>
      <c r="S164" s="2162"/>
      <c r="T164" s="2163"/>
      <c r="U164" s="2163"/>
      <c r="V164" s="2163"/>
      <c r="W164" s="2163"/>
      <c r="X164" s="2163"/>
      <c r="Y164" s="2163"/>
      <c r="Z164" s="2163"/>
      <c r="AA164" s="216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0" t="s">
        <v>2337</v>
      </c>
      <c r="D165" s="2161"/>
      <c r="E165" s="2161"/>
      <c r="F165" s="2161"/>
      <c r="G165" s="2161"/>
      <c r="H165" s="2161"/>
      <c r="I165" s="2161"/>
      <c r="J165" s="2161"/>
      <c r="K165" s="2161"/>
      <c r="L165" s="2161"/>
      <c r="M165" s="2161"/>
      <c r="N165" s="2161"/>
      <c r="O165" s="2161"/>
      <c r="P165" s="2161"/>
      <c r="Q165" s="2162">
        <v>55</v>
      </c>
      <c r="R165" s="2162"/>
      <c r="S165" s="2162"/>
      <c r="T165" s="2164"/>
      <c r="U165" s="2164"/>
      <c r="V165" s="2164"/>
      <c r="W165" s="2164"/>
      <c r="X165" s="2164"/>
      <c r="Y165" s="2164"/>
      <c r="Z165" s="2164"/>
      <c r="AA165" s="21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0" t="s">
        <v>2336</v>
      </c>
      <c r="D166" s="2161"/>
      <c r="E166" s="2161"/>
      <c r="F166" s="2161"/>
      <c r="G166" s="2161"/>
      <c r="H166" s="2161"/>
      <c r="I166" s="2161"/>
      <c r="J166" s="2161"/>
      <c r="K166" s="2161"/>
      <c r="L166" s="2161"/>
      <c r="M166" s="2161"/>
      <c r="N166" s="2161"/>
      <c r="O166" s="2161"/>
      <c r="P166" s="2161"/>
      <c r="Q166" s="2162">
        <v>55</v>
      </c>
      <c r="R166" s="2162"/>
      <c r="S166" s="2162"/>
      <c r="T166" s="2163"/>
      <c r="U166" s="2163"/>
      <c r="V166" s="2163"/>
      <c r="W166" s="2163"/>
      <c r="X166" s="2163"/>
      <c r="Y166" s="2163"/>
      <c r="Z166" s="2163"/>
      <c r="AA166" s="216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0" t="s">
        <v>2335</v>
      </c>
      <c r="D167" s="2161"/>
      <c r="E167" s="2161"/>
      <c r="F167" s="2161"/>
      <c r="G167" s="2161"/>
      <c r="H167" s="2161"/>
      <c r="I167" s="2161"/>
      <c r="J167" s="2161"/>
      <c r="K167" s="2161"/>
      <c r="L167" s="2161"/>
      <c r="M167" s="2161"/>
      <c r="N167" s="2161"/>
      <c r="O167" s="2161"/>
      <c r="P167" s="2161"/>
      <c r="Q167" s="2162">
        <v>55</v>
      </c>
      <c r="R167" s="2162"/>
      <c r="S167" s="2162"/>
      <c r="T167" s="2163"/>
      <c r="U167" s="2163"/>
      <c r="V167" s="2163"/>
      <c r="W167" s="2163"/>
      <c r="X167" s="2163"/>
      <c r="Y167" s="2163"/>
      <c r="Z167" s="2163"/>
      <c r="AA167" s="2163"/>
      <c r="AB167" s="2166">
        <v>0</v>
      </c>
      <c r="AC167" s="2166"/>
      <c r="AD167" s="2166"/>
      <c r="AE167" s="2166"/>
      <c r="AF167" s="2166"/>
      <c r="AG167" s="216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0" t="s">
        <v>170</v>
      </c>
      <c r="D168" s="2161"/>
      <c r="E168" s="2161"/>
      <c r="F168" s="2168" t="s">
        <v>2316</v>
      </c>
      <c r="G168" s="2168"/>
      <c r="H168" s="2168"/>
      <c r="I168" s="2168"/>
      <c r="J168" s="2168"/>
      <c r="K168" s="2168"/>
      <c r="L168" s="2168"/>
      <c r="M168" s="2168"/>
      <c r="N168" s="2168"/>
      <c r="O168" s="2168"/>
      <c r="P168" s="2168"/>
      <c r="Q168" s="2162">
        <v>55</v>
      </c>
      <c r="R168" s="2162"/>
      <c r="S168" s="2162"/>
      <c r="T168" s="2164"/>
      <c r="U168" s="2164"/>
      <c r="V168" s="2164"/>
      <c r="W168" s="2164"/>
      <c r="X168" s="2164"/>
      <c r="Y168" s="2164"/>
      <c r="Z168" s="2164"/>
      <c r="AA168" s="2164"/>
      <c r="AB168" s="2166">
        <v>0</v>
      </c>
      <c r="AC168" s="2166"/>
      <c r="AD168" s="2166"/>
      <c r="AE168" s="2166"/>
      <c r="AF168" s="2166"/>
      <c r="AG168" s="216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0" t="s">
        <v>170</v>
      </c>
      <c r="D169" s="2161"/>
      <c r="E169" s="2161"/>
      <c r="F169" s="2168" t="s">
        <v>2316</v>
      </c>
      <c r="G169" s="2168"/>
      <c r="H169" s="2168"/>
      <c r="I169" s="2168"/>
      <c r="J169" s="2168"/>
      <c r="K169" s="2168"/>
      <c r="L169" s="2168"/>
      <c r="M169" s="2168"/>
      <c r="N169" s="2168"/>
      <c r="O169" s="2168"/>
      <c r="P169" s="2168"/>
      <c r="Q169" s="2162">
        <v>55</v>
      </c>
      <c r="R169" s="2162"/>
      <c r="S169" s="2162"/>
      <c r="T169" s="2164"/>
      <c r="U169" s="2164"/>
      <c r="V169" s="2164"/>
      <c r="W169" s="2164"/>
      <c r="X169" s="2164"/>
      <c r="Y169" s="2164"/>
      <c r="Z169" s="2164"/>
      <c r="AA169" s="2164"/>
      <c r="AB169" s="2166">
        <v>0</v>
      </c>
      <c r="AC169" s="2166"/>
      <c r="AD169" s="2166"/>
      <c r="AE169" s="2166"/>
      <c r="AF169" s="2166"/>
      <c r="AG169" s="216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9" t="s">
        <v>170</v>
      </c>
      <c r="D170" s="2170"/>
      <c r="E170" s="2170"/>
      <c r="F170" s="2171" t="s">
        <v>2316</v>
      </c>
      <c r="G170" s="2171"/>
      <c r="H170" s="2171"/>
      <c r="I170" s="2171"/>
      <c r="J170" s="2171"/>
      <c r="K170" s="2171"/>
      <c r="L170" s="2171"/>
      <c r="M170" s="2171"/>
      <c r="N170" s="2171"/>
      <c r="O170" s="2171"/>
      <c r="P170" s="2171"/>
      <c r="Q170" s="2172">
        <v>55</v>
      </c>
      <c r="R170" s="2172"/>
      <c r="S170" s="2172"/>
      <c r="T170" s="2173"/>
      <c r="U170" s="2173"/>
      <c r="V170" s="2173"/>
      <c r="W170" s="2173"/>
      <c r="X170" s="2173"/>
      <c r="Y170" s="2173"/>
      <c r="Z170" s="2173"/>
      <c r="AA170" s="2173"/>
      <c r="AB170" s="2174">
        <v>0</v>
      </c>
      <c r="AC170" s="2174"/>
      <c r="AD170" s="2174"/>
      <c r="AE170" s="2174"/>
      <c r="AF170" s="2174"/>
      <c r="AG170" s="217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0" t="s">
        <v>2334</v>
      </c>
      <c r="D172" s="2061"/>
      <c r="E172" s="2061"/>
      <c r="F172" s="2061"/>
      <c r="G172" s="2061"/>
      <c r="H172" s="2061"/>
      <c r="I172" s="2061"/>
      <c r="J172" s="2061"/>
      <c r="K172" s="2061"/>
      <c r="L172" s="2061"/>
      <c r="M172" s="2061"/>
      <c r="N172" s="2111"/>
      <c r="O172" s="1190"/>
      <c r="P172" s="2176" t="s">
        <v>2333</v>
      </c>
      <c r="Q172" s="2177"/>
      <c r="R172" s="2177"/>
      <c r="S172" s="2177"/>
      <c r="T172" s="2177"/>
      <c r="U172" s="2177"/>
      <c r="V172" s="2177"/>
      <c r="W172" s="2177"/>
      <c r="X172" s="2177"/>
      <c r="Y172" s="2177"/>
      <c r="Z172" s="2177"/>
      <c r="AA172" s="2177"/>
      <c r="AB172" s="2177"/>
      <c r="AC172" s="2177"/>
      <c r="AD172" s="2177"/>
      <c r="AE172" s="2177"/>
      <c r="AF172" s="2177"/>
      <c r="AG172" s="2177"/>
      <c r="AH172" s="2177"/>
      <c r="AI172" s="2177"/>
      <c r="AJ172" s="2177"/>
      <c r="AK172" s="2177"/>
      <c r="AL172" s="2177"/>
      <c r="AM172" s="2177"/>
      <c r="AN172" s="2177"/>
      <c r="AO172" s="217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6" t="s">
        <v>2332</v>
      </c>
      <c r="D173" s="2157"/>
      <c r="E173" s="2157"/>
      <c r="F173" s="2157"/>
      <c r="G173" s="2157"/>
      <c r="H173" s="2157"/>
      <c r="I173" s="2157" t="s">
        <v>2331</v>
      </c>
      <c r="J173" s="2157"/>
      <c r="K173" s="2157"/>
      <c r="L173" s="2157"/>
      <c r="M173" s="2157"/>
      <c r="N173" s="2165"/>
      <c r="O173" s="1190"/>
      <c r="P173" s="2080" t="s">
        <v>2330</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6"/>
      <c r="D174" s="2018"/>
      <c r="E174" s="2018"/>
      <c r="F174" s="2018"/>
      <c r="G174" s="2018"/>
      <c r="H174" s="2018"/>
      <c r="I174" s="2163"/>
      <c r="J174" s="2163"/>
      <c r="K174" s="2163"/>
      <c r="L174" s="2163"/>
      <c r="M174" s="2163"/>
      <c r="N174" s="2179"/>
      <c r="O174" s="1190"/>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6"/>
      <c r="D175" s="2018"/>
      <c r="E175" s="2018"/>
      <c r="F175" s="2018"/>
      <c r="G175" s="2018"/>
      <c r="H175" s="2018"/>
      <c r="I175" s="2163"/>
      <c r="J175" s="2163"/>
      <c r="K175" s="2163"/>
      <c r="L175" s="2163"/>
      <c r="M175" s="2163"/>
      <c r="N175" s="2179"/>
      <c r="O175" s="1190"/>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6"/>
      <c r="D176" s="2018"/>
      <c r="E176" s="2018"/>
      <c r="F176" s="2018"/>
      <c r="G176" s="2018"/>
      <c r="H176" s="2018"/>
      <c r="I176" s="2163"/>
      <c r="J176" s="2163"/>
      <c r="K176" s="2163"/>
      <c r="L176" s="2163"/>
      <c r="M176" s="2163"/>
      <c r="N176" s="2179"/>
      <c r="O176" s="1190"/>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6"/>
      <c r="D177" s="2018"/>
      <c r="E177" s="2018"/>
      <c r="F177" s="2018"/>
      <c r="G177" s="2018"/>
      <c r="H177" s="2018"/>
      <c r="I177" s="2163"/>
      <c r="J177" s="2163"/>
      <c r="K177" s="2163"/>
      <c r="L177" s="2163"/>
      <c r="M177" s="2163"/>
      <c r="N177" s="2179"/>
      <c r="O177" s="1190"/>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6"/>
      <c r="D178" s="2018"/>
      <c r="E178" s="2018"/>
      <c r="F178" s="2018"/>
      <c r="G178" s="2018"/>
      <c r="H178" s="2018"/>
      <c r="I178" s="2163"/>
      <c r="J178" s="2163"/>
      <c r="K178" s="2163"/>
      <c r="L178" s="2163"/>
      <c r="M178" s="2163"/>
      <c r="N178" s="2179"/>
      <c r="O178" s="1190"/>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6"/>
      <c r="D179" s="2018"/>
      <c r="E179" s="2018"/>
      <c r="F179" s="2018"/>
      <c r="G179" s="2018"/>
      <c r="H179" s="2018"/>
      <c r="I179" s="2163"/>
      <c r="J179" s="2163"/>
      <c r="K179" s="2163"/>
      <c r="L179" s="2163"/>
      <c r="M179" s="2163"/>
      <c r="N179" s="2179"/>
      <c r="O179" s="1190"/>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0"/>
      <c r="D180" s="2181"/>
      <c r="E180" s="2181"/>
      <c r="F180" s="2181"/>
      <c r="G180" s="2181"/>
      <c r="H180" s="2181"/>
      <c r="I180" s="2182"/>
      <c r="J180" s="2182"/>
      <c r="K180" s="2182"/>
      <c r="L180" s="2182"/>
      <c r="M180" s="2182"/>
      <c r="N180" s="2183"/>
      <c r="O180" s="1190"/>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7" t="s">
        <v>2329</v>
      </c>
      <c r="D182" s="2188"/>
      <c r="E182" s="2188"/>
      <c r="F182" s="2188"/>
      <c r="G182" s="2188"/>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9"/>
      <c r="AF182" s="1190"/>
      <c r="AG182" s="1190"/>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190"/>
      <c r="B183" s="1190"/>
      <c r="C183" s="2190"/>
      <c r="D183" s="2191"/>
      <c r="E183" s="2191"/>
      <c r="F183" s="2191"/>
      <c r="G183" s="2191"/>
      <c r="H183" s="2191"/>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2191"/>
      <c r="AD183" s="2191"/>
      <c r="AE183" s="2192"/>
      <c r="AF183" s="1190"/>
      <c r="AG183" s="1190"/>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c r="A184" s="1190"/>
      <c r="B184" s="1190"/>
      <c r="C184" s="2060" t="s">
        <v>2327</v>
      </c>
      <c r="D184" s="2061"/>
      <c r="E184" s="2061"/>
      <c r="F184" s="2061"/>
      <c r="G184" s="2061"/>
      <c r="H184" s="2061"/>
      <c r="I184" s="2061"/>
      <c r="J184" s="2061"/>
      <c r="K184" s="2061"/>
      <c r="L184" s="2061"/>
      <c r="M184" s="2061"/>
      <c r="N184" s="2061" t="s">
        <v>2328</v>
      </c>
      <c r="O184" s="2061"/>
      <c r="P184" s="2061"/>
      <c r="Q184" s="2061"/>
      <c r="R184" s="2061"/>
      <c r="S184" s="2061"/>
      <c r="T184" s="2061"/>
      <c r="U184" s="2012" t="s">
        <v>2327</v>
      </c>
      <c r="V184" s="2012"/>
      <c r="W184" s="2012"/>
      <c r="X184" s="2012"/>
      <c r="Y184" s="2012"/>
      <c r="Z184" s="2012"/>
      <c r="AA184" s="2012"/>
      <c r="AB184" s="2012"/>
      <c r="AC184" s="2012"/>
      <c r="AD184" s="2012"/>
      <c r="AE184" s="2013"/>
      <c r="AF184" s="1190"/>
      <c r="AG184" s="1190"/>
      <c r="AH184" s="2197"/>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7"/>
    </row>
    <row r="185" spans="1:57" ht="15.75" customHeight="1">
      <c r="A185" s="1190"/>
      <c r="B185" s="1190"/>
      <c r="C185" s="2184" t="s">
        <v>2326</v>
      </c>
      <c r="D185" s="2185"/>
      <c r="E185" s="2185"/>
      <c r="F185" s="2185"/>
      <c r="G185" s="2185"/>
      <c r="H185" s="2185"/>
      <c r="I185" s="2185"/>
      <c r="J185" s="2185"/>
      <c r="K185" s="2185"/>
      <c r="L185" s="2185"/>
      <c r="M185" s="2185"/>
      <c r="N185" s="2186">
        <f>'Sources and Uses Budget'!B105</f>
        <v>90897429</v>
      </c>
      <c r="O185" s="2186"/>
      <c r="P185" s="2186"/>
      <c r="Q185" s="2186"/>
      <c r="R185" s="2186"/>
      <c r="S185" s="2186"/>
      <c r="T185" s="2186"/>
      <c r="U185" s="2198"/>
      <c r="V185" s="2198"/>
      <c r="W185" s="2198"/>
      <c r="X185" s="2198"/>
      <c r="Y185" s="2198"/>
      <c r="Z185" s="2198"/>
      <c r="AA185" s="2198"/>
      <c r="AB185" s="2198"/>
      <c r="AC185" s="2198"/>
      <c r="AD185" s="2198"/>
      <c r="AE185" s="2199"/>
      <c r="AF185" s="1190"/>
      <c r="AG185" s="1190"/>
      <c r="AH185" s="2197"/>
      <c r="AI185" s="2197"/>
      <c r="AJ185" s="2197"/>
      <c r="AK185" s="2197"/>
      <c r="AL185" s="2197"/>
      <c r="AM185" s="2197"/>
      <c r="AN185" s="2197"/>
      <c r="AO185" s="2197"/>
      <c r="AP185" s="2197"/>
      <c r="AQ185" s="2197"/>
      <c r="AR185" s="2197"/>
      <c r="AS185" s="2197"/>
      <c r="AT185" s="2197"/>
      <c r="AU185" s="2197"/>
      <c r="AV185" s="2197"/>
      <c r="AW185" s="2197"/>
      <c r="AX185" s="2197"/>
      <c r="AY185" s="2197"/>
      <c r="AZ185" s="2197"/>
      <c r="BA185" s="2197"/>
      <c r="BB185" s="2197"/>
      <c r="BC185" s="2197"/>
      <c r="BD185" s="2197"/>
      <c r="BE185" s="2197"/>
    </row>
    <row r="186" spans="1:57" ht="15.75" customHeight="1">
      <c r="A186" s="1190"/>
      <c r="B186" s="1190"/>
      <c r="C186" s="2184" t="s">
        <v>2325</v>
      </c>
      <c r="D186" s="2185"/>
      <c r="E186" s="2185"/>
      <c r="F186" s="2185"/>
      <c r="G186" s="2185"/>
      <c r="H186" s="2185"/>
      <c r="I186" s="2185"/>
      <c r="J186" s="2185"/>
      <c r="K186" s="2185"/>
      <c r="L186" s="2185"/>
      <c r="M186" s="2185"/>
      <c r="N186" s="2186">
        <f>N185/J29</f>
        <v>454487.14500000002</v>
      </c>
      <c r="O186" s="2186"/>
      <c r="P186" s="2186"/>
      <c r="Q186" s="2186"/>
      <c r="R186" s="2186"/>
      <c r="S186" s="2186"/>
      <c r="T186" s="2186"/>
      <c r="U186" s="1228"/>
      <c r="V186" s="1228"/>
      <c r="W186" s="1228"/>
      <c r="X186" s="1228"/>
      <c r="Y186" s="1228"/>
      <c r="Z186" s="1228"/>
      <c r="AA186" s="1228"/>
      <c r="AB186" s="1228"/>
      <c r="AC186" s="1228"/>
      <c r="AD186" s="1228"/>
      <c r="AE186" s="1229"/>
      <c r="AF186" s="1190"/>
      <c r="AG186" s="1190"/>
      <c r="AH186" s="2197"/>
      <c r="AI186" s="2197"/>
      <c r="AJ186" s="2197"/>
      <c r="AK186" s="2197"/>
      <c r="AL186" s="2197"/>
      <c r="AM186" s="2197"/>
      <c r="AN186" s="2197"/>
      <c r="AO186" s="2197"/>
      <c r="AP186" s="2197"/>
      <c r="AQ186" s="2197"/>
      <c r="AR186" s="2197"/>
      <c r="AS186" s="2197"/>
      <c r="AT186" s="2197"/>
      <c r="AU186" s="2197"/>
      <c r="AV186" s="2197"/>
      <c r="AW186" s="2197"/>
      <c r="AX186" s="2197"/>
      <c r="AY186" s="2197"/>
      <c r="AZ186" s="2197"/>
      <c r="BA186" s="2197"/>
      <c r="BB186" s="2197"/>
      <c r="BC186" s="2197"/>
      <c r="BD186" s="2197"/>
      <c r="BE186" s="2197"/>
    </row>
    <row r="187" spans="1:57" ht="15.75" customHeight="1">
      <c r="A187" s="1190"/>
      <c r="B187" s="1190"/>
      <c r="C187" s="2200" t="s">
        <v>2324</v>
      </c>
      <c r="D187" s="2201"/>
      <c r="E187" s="2201"/>
      <c r="F187" s="2201"/>
      <c r="G187" s="2201"/>
      <c r="H187" s="2201"/>
      <c r="I187" s="2201"/>
      <c r="J187" s="2201"/>
      <c r="K187" s="2201"/>
      <c r="L187" s="2201"/>
      <c r="M187" s="2201"/>
      <c r="N187" s="2054">
        <v>0</v>
      </c>
      <c r="O187" s="2054"/>
      <c r="P187" s="2054"/>
      <c r="Q187" s="2054"/>
      <c r="R187" s="2054"/>
      <c r="S187" s="2054"/>
      <c r="T187" s="2054"/>
      <c r="U187" s="2030"/>
      <c r="V187" s="2030"/>
      <c r="W187" s="2030"/>
      <c r="X187" s="2030"/>
      <c r="Y187" s="2030"/>
      <c r="Z187" s="2030"/>
      <c r="AA187" s="2030"/>
      <c r="AB187" s="2030"/>
      <c r="AC187" s="2030"/>
      <c r="AD187" s="2030"/>
      <c r="AE187" s="2031"/>
      <c r="AF187" s="1190"/>
      <c r="AG187" s="1190"/>
      <c r="AH187" s="2197"/>
      <c r="AI187" s="2197"/>
      <c r="AJ187" s="2197"/>
      <c r="AK187" s="2197"/>
      <c r="AL187" s="2197"/>
      <c r="AM187" s="2197"/>
      <c r="AN187" s="2197"/>
      <c r="AO187" s="2197"/>
      <c r="AP187" s="2197"/>
      <c r="AQ187" s="2197"/>
      <c r="AR187" s="2197"/>
      <c r="AS187" s="2197"/>
      <c r="AT187" s="2197"/>
      <c r="AU187" s="2197"/>
      <c r="AV187" s="2197"/>
      <c r="AW187" s="2197"/>
      <c r="AX187" s="2197"/>
      <c r="AY187" s="2197"/>
      <c r="AZ187" s="2197"/>
      <c r="BA187" s="2197"/>
      <c r="BB187" s="2197"/>
      <c r="BC187" s="2197"/>
      <c r="BD187" s="2197"/>
      <c r="BE187" s="2197"/>
    </row>
    <row r="188" spans="1:57" ht="15.75" customHeight="1" thickBot="1">
      <c r="A188" s="1190"/>
      <c r="B188" s="1190"/>
      <c r="C188" s="2184" t="s">
        <v>2323</v>
      </c>
      <c r="D188" s="2185"/>
      <c r="E188" s="2185"/>
      <c r="F188" s="2185"/>
      <c r="G188" s="2185"/>
      <c r="H188" s="2185"/>
      <c r="I188" s="2185"/>
      <c r="J188" s="2185"/>
      <c r="K188" s="2185"/>
      <c r="L188" s="2185"/>
      <c r="M188" s="2185"/>
      <c r="N188" s="2202">
        <f>SUM('Sources and Uses Budget'!B85:B86)</f>
        <v>6250000</v>
      </c>
      <c r="O188" s="2202"/>
      <c r="P188" s="2202"/>
      <c r="Q188" s="2202"/>
      <c r="R188" s="2202"/>
      <c r="S188" s="2202"/>
      <c r="T188" s="2202"/>
      <c r="U188" s="2030"/>
      <c r="V188" s="2030"/>
      <c r="W188" s="2030"/>
      <c r="X188" s="2030"/>
      <c r="Y188" s="2030"/>
      <c r="Z188" s="2030"/>
      <c r="AA188" s="2030"/>
      <c r="AB188" s="2030"/>
      <c r="AC188" s="2030"/>
      <c r="AD188" s="2030"/>
      <c r="AE188" s="2031"/>
      <c r="AF188" s="1190"/>
      <c r="AG188" s="1190"/>
      <c r="AH188" s="2197"/>
      <c r="AI188" s="2197"/>
      <c r="AJ188" s="2197"/>
      <c r="AK188" s="2197"/>
      <c r="AL188" s="2197"/>
      <c r="AM188" s="2197"/>
      <c r="AN188" s="2197"/>
      <c r="AO188" s="2197"/>
      <c r="AP188" s="2197"/>
      <c r="AQ188" s="2197"/>
      <c r="AR188" s="2197"/>
      <c r="AS188" s="2197"/>
      <c r="AT188" s="2197"/>
      <c r="AU188" s="2197"/>
      <c r="AV188" s="2197"/>
      <c r="AW188" s="2197"/>
      <c r="AX188" s="2197"/>
      <c r="AY188" s="2197"/>
      <c r="AZ188" s="2197"/>
      <c r="BA188" s="2197"/>
      <c r="BB188" s="2197"/>
      <c r="BC188" s="2197"/>
      <c r="BD188" s="2197"/>
      <c r="BE188" s="2197"/>
    </row>
    <row r="189" spans="1:57" ht="15.75" customHeight="1" thickBot="1">
      <c r="A189" s="1190"/>
      <c r="B189" s="1190"/>
      <c r="C189" s="2184" t="s">
        <v>2322</v>
      </c>
      <c r="D189" s="2185"/>
      <c r="E189" s="2185"/>
      <c r="F189" s="2185"/>
      <c r="G189" s="2185"/>
      <c r="H189" s="2185"/>
      <c r="I189" s="2185"/>
      <c r="J189" s="2185"/>
      <c r="K189" s="2185"/>
      <c r="L189" s="2185"/>
      <c r="M189" s="2185"/>
      <c r="N189" s="2202">
        <f>'Sources and Uses Budget'!B8</f>
        <v>1000000</v>
      </c>
      <c r="O189" s="2202"/>
      <c r="P189" s="2202"/>
      <c r="Q189" s="2202"/>
      <c r="R189" s="2202"/>
      <c r="S189" s="2202"/>
      <c r="T189" s="2202"/>
      <c r="U189" s="2030"/>
      <c r="V189" s="2030"/>
      <c r="W189" s="2030"/>
      <c r="X189" s="2030"/>
      <c r="Y189" s="2030"/>
      <c r="Z189" s="2030"/>
      <c r="AA189" s="2030"/>
      <c r="AB189" s="2030"/>
      <c r="AC189" s="2030"/>
      <c r="AD189" s="2030"/>
      <c r="AE189" s="2031"/>
      <c r="AF189" s="1190"/>
      <c r="AG189" s="1190"/>
      <c r="AH189" s="2206" t="s">
        <v>2320</v>
      </c>
      <c r="AI189" s="2207"/>
      <c r="AJ189" s="2207"/>
      <c r="AK189" s="2207"/>
      <c r="AL189" s="2207"/>
      <c r="AM189" s="2207"/>
      <c r="AN189" s="2207"/>
      <c r="AO189" s="2207"/>
      <c r="AP189" s="2207"/>
      <c r="AQ189" s="2207"/>
      <c r="AR189" s="2207"/>
      <c r="AS189" s="2207"/>
      <c r="AT189" s="2207"/>
      <c r="AU189" s="2207"/>
      <c r="AV189" s="2207"/>
      <c r="AW189" s="2207"/>
      <c r="AX189" s="2207"/>
      <c r="AY189" s="2207"/>
      <c r="AZ189" s="2207"/>
      <c r="BA189" s="2207"/>
      <c r="BB189" s="2207"/>
      <c r="BC189" s="2207"/>
      <c r="BD189" s="2207"/>
      <c r="BE189" s="2208"/>
    </row>
    <row r="190" spans="1:57" ht="15.75" customHeight="1">
      <c r="A190" s="1190"/>
      <c r="B190" s="1190"/>
      <c r="C190" s="2184" t="s">
        <v>2321</v>
      </c>
      <c r="D190" s="2185"/>
      <c r="E190" s="2185"/>
      <c r="F190" s="2185"/>
      <c r="G190" s="2185"/>
      <c r="H190" s="2185"/>
      <c r="I190" s="2185"/>
      <c r="J190" s="2185"/>
      <c r="K190" s="2185"/>
      <c r="L190" s="2185"/>
      <c r="M190" s="2185"/>
      <c r="N190" s="2193">
        <v>0</v>
      </c>
      <c r="O190" s="2193"/>
      <c r="P190" s="2193"/>
      <c r="Q190" s="2193"/>
      <c r="R190" s="2193"/>
      <c r="S190" s="2193"/>
      <c r="T190" s="2193"/>
      <c r="U190" s="2030"/>
      <c r="V190" s="2030"/>
      <c r="W190" s="2030"/>
      <c r="X190" s="2030"/>
      <c r="Y190" s="2030"/>
      <c r="Z190" s="2030"/>
      <c r="AA190" s="2030"/>
      <c r="AB190" s="2030"/>
      <c r="AC190" s="2030"/>
      <c r="AD190" s="2030"/>
      <c r="AE190" s="2031"/>
      <c r="AF190" s="1190"/>
      <c r="AG190" s="1190"/>
      <c r="AH190" s="2209" t="s">
        <v>2320</v>
      </c>
      <c r="AI190" s="2210"/>
      <c r="AJ190" s="2210"/>
      <c r="AK190" s="2210"/>
      <c r="AL190" s="2210"/>
      <c r="AM190" s="2210"/>
      <c r="AN190" s="2210"/>
      <c r="AO190" s="2210"/>
      <c r="AP190" s="2210"/>
      <c r="AQ190" s="2210"/>
      <c r="AR190" s="2210"/>
      <c r="AS190" s="2210"/>
      <c r="AT190" s="2210"/>
      <c r="AU190" s="2211">
        <v>0</v>
      </c>
      <c r="AV190" s="2211"/>
      <c r="AW190" s="2211"/>
      <c r="AX190" s="2211"/>
      <c r="AY190" s="2211"/>
      <c r="AZ190" s="2211"/>
      <c r="BA190" s="2211"/>
      <c r="BB190" s="2211"/>
      <c r="BC190" s="2212"/>
      <c r="BD190" s="2213"/>
      <c r="BE190" s="2214"/>
    </row>
    <row r="191" spans="1:57" ht="15.75" customHeight="1">
      <c r="A191" s="1190"/>
      <c r="B191" s="1190"/>
      <c r="C191" s="2184" t="s">
        <v>2319</v>
      </c>
      <c r="D191" s="2185"/>
      <c r="E191" s="2185"/>
      <c r="F191" s="2185"/>
      <c r="G191" s="2185"/>
      <c r="H191" s="2185"/>
      <c r="I191" s="2185"/>
      <c r="J191" s="2185"/>
      <c r="K191" s="2185"/>
      <c r="L191" s="2185"/>
      <c r="M191" s="2185"/>
      <c r="N191" s="2193">
        <v>0</v>
      </c>
      <c r="O191" s="2193"/>
      <c r="P191" s="2193"/>
      <c r="Q191" s="2193"/>
      <c r="R191" s="2193"/>
      <c r="S191" s="2193"/>
      <c r="T191" s="2193"/>
      <c r="U191" s="2030"/>
      <c r="V191" s="2030"/>
      <c r="W191" s="2030"/>
      <c r="X191" s="2030"/>
      <c r="Y191" s="2030"/>
      <c r="Z191" s="2030"/>
      <c r="AA191" s="2030"/>
      <c r="AB191" s="2030"/>
      <c r="AC191" s="2030"/>
      <c r="AD191" s="2030"/>
      <c r="AE191" s="2031"/>
      <c r="AF191" s="1190"/>
      <c r="AG191" s="1190"/>
      <c r="AH191" s="2194" t="s">
        <v>2318</v>
      </c>
      <c r="AI191" s="2195"/>
      <c r="AJ191" s="2195"/>
      <c r="AK191" s="2195"/>
      <c r="AL191" s="2195"/>
      <c r="AM191" s="2195"/>
      <c r="AN191" s="2195"/>
      <c r="AO191" s="2195"/>
      <c r="AP191" s="2195"/>
      <c r="AQ191" s="2195"/>
      <c r="AR191" s="2195"/>
      <c r="AS191" s="2195"/>
      <c r="AT191" s="2195"/>
      <c r="AU191" s="2196"/>
      <c r="AV191" s="2196"/>
      <c r="AW191" s="2196"/>
      <c r="AX191" s="2196"/>
      <c r="AY191" s="2196"/>
      <c r="AZ191" s="2196"/>
      <c r="BA191" s="2196"/>
      <c r="BB191" s="2196"/>
      <c r="BC191" s="2203"/>
      <c r="BD191" s="2204"/>
      <c r="BE191" s="2205"/>
    </row>
    <row r="192" spans="1:57" ht="15.75" customHeight="1">
      <c r="A192" s="1190"/>
      <c r="B192" s="1190"/>
      <c r="C192" s="2219" t="s">
        <v>300</v>
      </c>
      <c r="D192" s="2162"/>
      <c r="E192" s="2215" t="s">
        <v>2316</v>
      </c>
      <c r="F192" s="2215"/>
      <c r="G192" s="2215"/>
      <c r="H192" s="2215"/>
      <c r="I192" s="2215"/>
      <c r="J192" s="2215"/>
      <c r="K192" s="2215"/>
      <c r="L192" s="2215"/>
      <c r="M192" s="2215"/>
      <c r="N192" s="2193">
        <v>0</v>
      </c>
      <c r="O192" s="2193"/>
      <c r="P192" s="2193"/>
      <c r="Q192" s="2193"/>
      <c r="R192" s="2193"/>
      <c r="S192" s="2193"/>
      <c r="T192" s="2193"/>
      <c r="U192" s="2030"/>
      <c r="V192" s="2030"/>
      <c r="W192" s="2030"/>
      <c r="X192" s="2030"/>
      <c r="Y192" s="2030"/>
      <c r="Z192" s="2030"/>
      <c r="AA192" s="2030"/>
      <c r="AB192" s="2030"/>
      <c r="AC192" s="2030"/>
      <c r="AD192" s="2030"/>
      <c r="AE192" s="2031"/>
      <c r="AF192" s="1190"/>
      <c r="AG192" s="1190"/>
      <c r="AH192" s="2220" t="s">
        <v>2317</v>
      </c>
      <c r="AI192" s="2221"/>
      <c r="AJ192" s="2221"/>
      <c r="AK192" s="2221"/>
      <c r="AL192" s="2221"/>
      <c r="AM192" s="2221"/>
      <c r="AN192" s="2221"/>
      <c r="AO192" s="2221"/>
      <c r="AP192" s="2221"/>
      <c r="AQ192" s="2221"/>
      <c r="AR192" s="2221"/>
      <c r="AS192" s="2221"/>
      <c r="AT192" s="2221"/>
      <c r="AU192" s="2222">
        <f>SUM(AU190:BB191)</f>
        <v>0</v>
      </c>
      <c r="AV192" s="2222"/>
      <c r="AW192" s="2222"/>
      <c r="AX192" s="2222"/>
      <c r="AY192" s="2222"/>
      <c r="AZ192" s="2222"/>
      <c r="BA192" s="2222"/>
      <c r="BB192" s="2222"/>
      <c r="BC192" s="2203"/>
      <c r="BD192" s="2204"/>
      <c r="BE192" s="2205"/>
    </row>
    <row r="193" spans="1:57" ht="15.75" customHeight="1" thickBot="1">
      <c r="A193" s="1190"/>
      <c r="B193" s="1190"/>
      <c r="C193" s="2086" t="s">
        <v>300</v>
      </c>
      <c r="D193" s="2018"/>
      <c r="E193" s="2215" t="s">
        <v>2316</v>
      </c>
      <c r="F193" s="2215"/>
      <c r="G193" s="2215"/>
      <c r="H193" s="2215"/>
      <c r="I193" s="2215"/>
      <c r="J193" s="2215"/>
      <c r="K193" s="2215"/>
      <c r="L193" s="2215"/>
      <c r="M193" s="2215"/>
      <c r="N193" s="2193">
        <v>0</v>
      </c>
      <c r="O193" s="2193"/>
      <c r="P193" s="2193"/>
      <c r="Q193" s="2193"/>
      <c r="R193" s="2193"/>
      <c r="S193" s="2193"/>
      <c r="T193" s="2193"/>
      <c r="U193" s="2030"/>
      <c r="V193" s="2030"/>
      <c r="W193" s="2030"/>
      <c r="X193" s="2030"/>
      <c r="Y193" s="2030"/>
      <c r="Z193" s="2030"/>
      <c r="AA193" s="2030"/>
      <c r="AB193" s="2030"/>
      <c r="AC193" s="2030"/>
      <c r="AD193" s="2030"/>
      <c r="AE193" s="203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6"/>
      <c r="BD193" s="2217"/>
      <c r="BE193" s="2218"/>
    </row>
    <row r="194" spans="1:57" ht="15.75" customHeight="1" thickBot="1">
      <c r="A194" s="1190"/>
      <c r="B194" s="1190"/>
      <c r="C194" s="2240" t="s">
        <v>300</v>
      </c>
      <c r="D194" s="2241"/>
      <c r="E194" s="2242" t="s">
        <v>2316</v>
      </c>
      <c r="F194" s="2242"/>
      <c r="G194" s="2242"/>
      <c r="H194" s="2242"/>
      <c r="I194" s="2242"/>
      <c r="J194" s="2242"/>
      <c r="K194" s="2242"/>
      <c r="L194" s="2242"/>
      <c r="M194" s="2243"/>
      <c r="N194" s="2244">
        <v>0</v>
      </c>
      <c r="O194" s="2244"/>
      <c r="P194" s="2244"/>
      <c r="Q194" s="2244"/>
      <c r="R194" s="2244"/>
      <c r="S194" s="2244"/>
      <c r="T194" s="2245"/>
      <c r="U194" s="2246"/>
      <c r="V194" s="2247"/>
      <c r="W194" s="2247"/>
      <c r="X194" s="2247"/>
      <c r="Y194" s="2247"/>
      <c r="Z194" s="2247"/>
      <c r="AA194" s="2247"/>
      <c r="AB194" s="2247"/>
      <c r="AC194" s="2247"/>
      <c r="AD194" s="2247"/>
      <c r="AE194" s="2248"/>
      <c r="AF194" s="1190"/>
      <c r="AG194" s="1190"/>
      <c r="AH194" s="2249" t="s">
        <v>2315</v>
      </c>
      <c r="AI194" s="2250"/>
      <c r="AJ194" s="2250"/>
      <c r="AK194" s="2250"/>
      <c r="AL194" s="2250"/>
      <c r="AM194" s="2250"/>
      <c r="AN194" s="2250"/>
      <c r="AO194" s="2250"/>
      <c r="AP194" s="2250"/>
      <c r="AQ194" s="2250"/>
      <c r="AR194" s="2250"/>
      <c r="AS194" s="2250"/>
      <c r="AT194" s="2250"/>
      <c r="AU194" s="2251"/>
      <c r="AV194" s="2251"/>
      <c r="AW194" s="2251"/>
      <c r="AX194" s="2251"/>
      <c r="AY194" s="2251"/>
      <c r="AZ194" s="2251"/>
      <c r="BA194" s="2251"/>
      <c r="BB194" s="2251"/>
      <c r="BC194" s="1171"/>
      <c r="BD194" s="1171"/>
      <c r="BE194" s="1232"/>
    </row>
    <row r="195" spans="1:57" ht="15.75" customHeight="1">
      <c r="A195" s="1190"/>
      <c r="B195" s="1190"/>
      <c r="C195" s="2223" t="s">
        <v>2314</v>
      </c>
      <c r="D195" s="2224"/>
      <c r="E195" s="2224"/>
      <c r="F195" s="2224"/>
      <c r="G195" s="2224"/>
      <c r="H195" s="2224"/>
      <c r="I195" s="2224"/>
      <c r="J195" s="2224"/>
      <c r="K195" s="2224"/>
      <c r="L195" s="2224"/>
      <c r="M195" s="2224"/>
      <c r="N195" s="2225">
        <f>SUM(N187:T194)</f>
        <v>7250000</v>
      </c>
      <c r="O195" s="2225"/>
      <c r="P195" s="2225"/>
      <c r="Q195" s="2225"/>
      <c r="R195" s="2225"/>
      <c r="S195" s="2225"/>
      <c r="T195" s="2226"/>
      <c r="U195" s="1190"/>
      <c r="V195" s="1190"/>
      <c r="W195" s="1190"/>
      <c r="X195" s="1190"/>
      <c r="Y195" s="1190"/>
      <c r="Z195" s="1190"/>
      <c r="AA195" s="1190"/>
      <c r="AB195" s="1190"/>
      <c r="AC195" s="1190"/>
      <c r="AD195" s="1190"/>
      <c r="AE195" s="1190"/>
      <c r="AF195" s="1190"/>
      <c r="AG195" s="1190"/>
      <c r="AH195" s="2227" t="s">
        <v>2313</v>
      </c>
      <c r="AI195" s="2228"/>
      <c r="AJ195" s="2228"/>
      <c r="AK195" s="2228"/>
      <c r="AL195" s="2228"/>
      <c r="AM195" s="2228"/>
      <c r="AN195" s="2228"/>
      <c r="AO195" s="2228"/>
      <c r="AP195" s="2228"/>
      <c r="AQ195" s="2228"/>
      <c r="AR195" s="2228"/>
      <c r="AS195" s="2228"/>
      <c r="AT195" s="2228"/>
      <c r="AU195" s="2228"/>
      <c r="AV195" s="2228"/>
      <c r="AW195" s="2228"/>
      <c r="AX195" s="2228"/>
      <c r="AY195" s="2228"/>
      <c r="AZ195" s="2228"/>
      <c r="BA195" s="2228"/>
      <c r="BB195" s="2228"/>
      <c r="BC195" s="2228"/>
      <c r="BD195" s="2228"/>
      <c r="BE195" s="2229"/>
    </row>
    <row r="196" spans="1:57" ht="15.75" customHeight="1" thickBot="1">
      <c r="A196" s="1190"/>
      <c r="B196" s="1190"/>
      <c r="C196" s="2233" t="s">
        <v>2312</v>
      </c>
      <c r="D196" s="2234"/>
      <c r="E196" s="2234"/>
      <c r="F196" s="2234"/>
      <c r="G196" s="2234"/>
      <c r="H196" s="2234"/>
      <c r="I196" s="2234"/>
      <c r="J196" s="2234"/>
      <c r="K196" s="2234"/>
      <c r="L196" s="2234"/>
      <c r="M196" s="2234"/>
      <c r="N196" s="2235">
        <f>(N185-N195)/J29</f>
        <v>418237.14500000002</v>
      </c>
      <c r="O196" s="2236"/>
      <c r="P196" s="2236"/>
      <c r="Q196" s="2236"/>
      <c r="R196" s="2236"/>
      <c r="S196" s="2236"/>
      <c r="T196" s="2237"/>
      <c r="U196" s="1195"/>
      <c r="V196" s="1190"/>
      <c r="W196" s="1190"/>
      <c r="X196" s="1190"/>
      <c r="Y196" s="1190"/>
      <c r="Z196" s="1190"/>
      <c r="AA196" s="1190"/>
      <c r="AB196" s="1190"/>
      <c r="AC196" s="1190"/>
      <c r="AD196" s="1190"/>
      <c r="AE196" s="1190"/>
      <c r="AF196" s="1190"/>
      <c r="AG196" s="1190"/>
      <c r="AH196" s="2230"/>
      <c r="AI196" s="2231"/>
      <c r="AJ196" s="2231"/>
      <c r="AK196" s="2231"/>
      <c r="AL196" s="2231"/>
      <c r="AM196" s="2231"/>
      <c r="AN196" s="2231"/>
      <c r="AO196" s="2231"/>
      <c r="AP196" s="2231"/>
      <c r="AQ196" s="2231"/>
      <c r="AR196" s="2231"/>
      <c r="AS196" s="2231"/>
      <c r="AT196" s="2231"/>
      <c r="AU196" s="2231"/>
      <c r="AV196" s="2231"/>
      <c r="AW196" s="2231"/>
      <c r="AX196" s="2231"/>
      <c r="AY196" s="2231"/>
      <c r="AZ196" s="2231"/>
      <c r="BA196" s="2231"/>
      <c r="BB196" s="2231"/>
      <c r="BC196" s="2231"/>
      <c r="BD196" s="2231"/>
      <c r="BE196" s="223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8"/>
      <c r="AI197" s="2238"/>
      <c r="AJ197" s="2238"/>
      <c r="AK197" s="2238"/>
      <c r="AL197" s="2238"/>
      <c r="AM197" s="2238"/>
      <c r="AN197" s="2238"/>
      <c r="AO197" s="2238"/>
      <c r="AP197" s="2238"/>
      <c r="AQ197" s="2238"/>
      <c r="AR197" s="2238"/>
      <c r="AS197" s="2239"/>
      <c r="AT197" s="2239"/>
      <c r="AU197" s="2239"/>
      <c r="AV197" s="2239"/>
      <c r="AW197" s="2239"/>
      <c r="AX197" s="2239"/>
      <c r="AY197" s="2239"/>
      <c r="AZ197" s="2239"/>
      <c r="BA197" s="2239"/>
      <c r="BB197" s="2239"/>
      <c r="BC197" s="2239"/>
      <c r="BD197" s="223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7" t="s">
        <v>2311</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0" t="s">
        <v>2310</v>
      </c>
      <c r="D200" s="2260"/>
      <c r="E200" s="2260"/>
      <c r="F200" s="2260"/>
      <c r="G200" s="2260"/>
      <c r="H200" s="2260"/>
      <c r="I200" s="2260"/>
      <c r="J200" s="2260"/>
      <c r="K200" s="2260"/>
      <c r="L200" s="2260"/>
      <c r="M200" s="2260"/>
      <c r="N200" s="2260"/>
      <c r="O200" s="2261" t="s">
        <v>2309</v>
      </c>
      <c r="P200" s="2261"/>
      <c r="Q200" s="2261"/>
      <c r="R200" s="2261"/>
      <c r="S200" s="2261"/>
      <c r="T200" s="2261"/>
      <c r="U200" s="2261"/>
      <c r="V200" s="2261"/>
      <c r="W200" s="2261"/>
      <c r="X200" s="2261" t="s">
        <v>2308</v>
      </c>
      <c r="Y200" s="2261"/>
      <c r="Z200" s="2261"/>
      <c r="AA200" s="2261"/>
      <c r="AB200" s="2261"/>
      <c r="AC200" s="2261"/>
      <c r="AD200" s="2261"/>
      <c r="AE200" s="22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2" t="s">
        <v>2307</v>
      </c>
      <c r="D201" s="2252"/>
      <c r="E201" s="2252"/>
      <c r="F201" s="2252"/>
      <c r="G201" s="2252"/>
      <c r="H201" s="2252"/>
      <c r="I201" s="2252"/>
      <c r="J201" s="2252"/>
      <c r="K201" s="2252"/>
      <c r="L201" s="2252"/>
      <c r="M201" s="2252"/>
      <c r="N201" s="2252"/>
      <c r="O201" s="2253" t="s">
        <v>2306</v>
      </c>
      <c r="P201" s="2253"/>
      <c r="Q201" s="2253"/>
      <c r="R201" s="2253"/>
      <c r="S201" s="2253"/>
      <c r="T201" s="2253"/>
      <c r="U201" s="2253"/>
      <c r="V201" s="2253"/>
      <c r="W201" s="2253"/>
      <c r="X201" s="2254">
        <v>0.03</v>
      </c>
      <c r="Y201" s="2254"/>
      <c r="Z201" s="2254"/>
      <c r="AA201" s="2254"/>
      <c r="AB201" s="2254"/>
      <c r="AC201" s="2254"/>
      <c r="AD201" s="2254"/>
      <c r="AE201" s="22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2" t="s">
        <v>854</v>
      </c>
      <c r="D202" s="2252"/>
      <c r="E202" s="2252"/>
      <c r="F202" s="2252"/>
      <c r="G202" s="2252"/>
      <c r="H202" s="2252"/>
      <c r="I202" s="2252"/>
      <c r="J202" s="2252"/>
      <c r="K202" s="2252"/>
      <c r="L202" s="2252"/>
      <c r="M202" s="2252"/>
      <c r="N202" s="2252"/>
      <c r="O202" s="2253" t="s">
        <v>2306</v>
      </c>
      <c r="P202" s="2253"/>
      <c r="Q202" s="2253"/>
      <c r="R202" s="2253"/>
      <c r="S202" s="2253"/>
      <c r="T202" s="2253"/>
      <c r="U202" s="2253"/>
      <c r="V202" s="2253"/>
      <c r="W202" s="2253"/>
      <c r="X202" s="2254">
        <v>0.03</v>
      </c>
      <c r="Y202" s="2254"/>
      <c r="Z202" s="2254"/>
      <c r="AA202" s="2254"/>
      <c r="AB202" s="2254"/>
      <c r="AC202" s="2254"/>
      <c r="AD202" s="2254"/>
      <c r="AE202" s="22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2" t="s">
        <v>2305</v>
      </c>
      <c r="D203" s="2252"/>
      <c r="E203" s="2252"/>
      <c r="F203" s="2252"/>
      <c r="G203" s="2252"/>
      <c r="H203" s="2252"/>
      <c r="I203" s="2252"/>
      <c r="J203" s="2252"/>
      <c r="K203" s="2252"/>
      <c r="L203" s="2252"/>
      <c r="M203" s="2252"/>
      <c r="N203" s="2252"/>
      <c r="O203" s="2255">
        <f>SUM(O201:W202)</f>
        <v>0</v>
      </c>
      <c r="P203" s="2256"/>
      <c r="Q203" s="2256"/>
      <c r="R203" s="2256"/>
      <c r="S203" s="2256"/>
      <c r="T203" s="2256"/>
      <c r="U203" s="2256"/>
      <c r="V203" s="2256"/>
      <c r="W203" s="2256"/>
      <c r="X203" s="2256" t="s">
        <v>2304</v>
      </c>
      <c r="Y203" s="2256"/>
      <c r="Z203" s="2256"/>
      <c r="AA203" s="2256"/>
      <c r="AB203" s="2256"/>
      <c r="AC203" s="2256"/>
      <c r="AD203" s="2256"/>
      <c r="AE203" s="22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2" t="s">
        <v>2303</v>
      </c>
      <c r="D204" s="2262"/>
      <c r="E204" s="2262"/>
      <c r="F204" s="2262"/>
      <c r="G204" s="2262"/>
      <c r="H204" s="2262"/>
      <c r="I204" s="2262"/>
      <c r="J204" s="2262"/>
      <c r="K204" s="2262"/>
      <c r="L204" s="2262"/>
      <c r="M204" s="2262"/>
      <c r="N204" s="2262"/>
      <c r="O204" s="2262"/>
      <c r="P204" s="2262"/>
      <c r="Q204" s="2262"/>
      <c r="R204" s="2262"/>
      <c r="S204" s="2262"/>
      <c r="T204" s="2262"/>
      <c r="U204" s="2262"/>
      <c r="V204" s="2262"/>
      <c r="W204" s="2262"/>
      <c r="X204" s="2262"/>
      <c r="Y204" s="2262"/>
      <c r="Z204" s="2262"/>
      <c r="AA204" s="2262"/>
      <c r="AB204" s="2262"/>
      <c r="AC204" s="2262"/>
      <c r="AD204" s="2262"/>
      <c r="AE204" s="226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3" t="s">
        <v>2302</v>
      </c>
      <c r="D206" s="2264"/>
      <c r="E206" s="2264"/>
      <c r="F206" s="2264"/>
      <c r="G206" s="2264"/>
      <c r="H206" s="2264"/>
      <c r="I206" s="2264"/>
      <c r="J206" s="2264"/>
      <c r="K206" s="2264"/>
      <c r="L206" s="2264"/>
      <c r="M206" s="2264"/>
      <c r="N206" s="2264"/>
      <c r="O206" s="2264"/>
      <c r="P206" s="2264"/>
      <c r="Q206" s="2264"/>
      <c r="R206" s="2264"/>
      <c r="S206" s="2264"/>
      <c r="T206" s="2264"/>
      <c r="U206" s="2264"/>
      <c r="V206" s="2264"/>
      <c r="W206" s="2264"/>
      <c r="X206" s="2264"/>
      <c r="Y206" s="2264"/>
      <c r="Z206" s="2264"/>
      <c r="AA206" s="2264"/>
      <c r="AB206" s="2264"/>
      <c r="AC206" s="2264"/>
      <c r="AD206" s="2264"/>
      <c r="AE206" s="2264"/>
      <c r="AF206" s="2264"/>
      <c r="AG206" s="2264"/>
      <c r="AH206" s="2264"/>
      <c r="AI206" s="2264"/>
      <c r="AJ206" s="2264"/>
      <c r="AK206" s="226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6" t="s">
        <v>2301</v>
      </c>
      <c r="D207" s="2267"/>
      <c r="E207" s="2267"/>
      <c r="F207" s="2268"/>
      <c r="G207" s="2272" t="s">
        <v>2300</v>
      </c>
      <c r="H207" s="2267"/>
      <c r="I207" s="2267"/>
      <c r="J207" s="2267"/>
      <c r="K207" s="2267"/>
      <c r="L207" s="2267"/>
      <c r="M207" s="2267"/>
      <c r="N207" s="2267"/>
      <c r="O207" s="2268"/>
      <c r="P207" s="2274" t="s">
        <v>2299</v>
      </c>
      <c r="Q207" s="2275"/>
      <c r="R207" s="2275"/>
      <c r="S207" s="2275"/>
      <c r="T207" s="2276"/>
      <c r="U207" s="2280" t="s">
        <v>2298</v>
      </c>
      <c r="V207" s="2281"/>
      <c r="W207" s="2281"/>
      <c r="X207" s="2282"/>
      <c r="Y207" s="2280" t="s">
        <v>2297</v>
      </c>
      <c r="Z207" s="2281"/>
      <c r="AA207" s="2281"/>
      <c r="AB207" s="2282"/>
      <c r="AC207" s="2280" t="s">
        <v>2296</v>
      </c>
      <c r="AD207" s="2281"/>
      <c r="AE207" s="2281"/>
      <c r="AF207" s="2282"/>
      <c r="AG207" s="2272" t="s">
        <v>2295</v>
      </c>
      <c r="AH207" s="2267"/>
      <c r="AI207" s="2267"/>
      <c r="AJ207" s="2267"/>
      <c r="AK207" s="228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9"/>
      <c r="D208" s="2270"/>
      <c r="E208" s="2270"/>
      <c r="F208" s="2271"/>
      <c r="G208" s="2273"/>
      <c r="H208" s="2270"/>
      <c r="I208" s="2270"/>
      <c r="J208" s="2270"/>
      <c r="K208" s="2270"/>
      <c r="L208" s="2270"/>
      <c r="M208" s="2270"/>
      <c r="N208" s="2270"/>
      <c r="O208" s="2271"/>
      <c r="P208" s="2277"/>
      <c r="Q208" s="2278"/>
      <c r="R208" s="2278"/>
      <c r="S208" s="2278"/>
      <c r="T208" s="2279"/>
      <c r="U208" s="2283"/>
      <c r="V208" s="2284"/>
      <c r="W208" s="2284"/>
      <c r="X208" s="2285"/>
      <c r="Y208" s="2283"/>
      <c r="Z208" s="2284"/>
      <c r="AA208" s="2284"/>
      <c r="AB208" s="2285"/>
      <c r="AC208" s="2283"/>
      <c r="AD208" s="2284"/>
      <c r="AE208" s="2284"/>
      <c r="AF208" s="2285"/>
      <c r="AG208" s="2273"/>
      <c r="AH208" s="2270"/>
      <c r="AI208" s="2270"/>
      <c r="AJ208" s="2270"/>
      <c r="AK208" s="228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1">
        <v>1</v>
      </c>
      <c r="D209" s="2292"/>
      <c r="E209" s="2292"/>
      <c r="F209" s="2292"/>
      <c r="G209" s="2293" t="s">
        <v>1884</v>
      </c>
      <c r="H209" s="2293"/>
      <c r="I209" s="2293"/>
      <c r="J209" s="2293"/>
      <c r="K209" s="2293"/>
      <c r="L209" s="2293"/>
      <c r="M209" s="2293"/>
      <c r="N209" s="2293"/>
      <c r="O209" s="2293"/>
      <c r="P209" s="2294"/>
      <c r="Q209" s="2297"/>
      <c r="R209" s="2297"/>
      <c r="S209" s="2297"/>
      <c r="T209" s="2297"/>
      <c r="U209" s="2295" t="s">
        <v>1884</v>
      </c>
      <c r="V209" s="2295"/>
      <c r="W209" s="2295"/>
      <c r="X209" s="2295"/>
      <c r="Y209" s="2295" t="s">
        <v>1884</v>
      </c>
      <c r="Z209" s="2295"/>
      <c r="AA209" s="2295"/>
      <c r="AB209" s="2295"/>
      <c r="AC209" s="2296" t="s">
        <v>1884</v>
      </c>
      <c r="AD209" s="2296"/>
      <c r="AE209" s="2296"/>
      <c r="AF209" s="2296"/>
      <c r="AG209" s="2288"/>
      <c r="AH209" s="2289"/>
      <c r="AI209" s="2289"/>
      <c r="AJ209" s="2289"/>
      <c r="AK209" s="22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1">
        <v>2</v>
      </c>
      <c r="D210" s="2292"/>
      <c r="E210" s="2292"/>
      <c r="F210" s="2292"/>
      <c r="G210" s="2293" t="s">
        <v>1884</v>
      </c>
      <c r="H210" s="2293"/>
      <c r="I210" s="2293"/>
      <c r="J210" s="2293"/>
      <c r="K210" s="2293"/>
      <c r="L210" s="2293"/>
      <c r="M210" s="2293"/>
      <c r="N210" s="2293"/>
      <c r="O210" s="2293"/>
      <c r="P210" s="2294"/>
      <c r="Q210" s="2294"/>
      <c r="R210" s="2294"/>
      <c r="S210" s="2294"/>
      <c r="T210" s="2294"/>
      <c r="U210" s="2295" t="s">
        <v>1884</v>
      </c>
      <c r="V210" s="2295"/>
      <c r="W210" s="2295"/>
      <c r="X210" s="2295"/>
      <c r="Y210" s="2295" t="s">
        <v>1884</v>
      </c>
      <c r="Z210" s="2295"/>
      <c r="AA210" s="2295"/>
      <c r="AB210" s="2295"/>
      <c r="AC210" s="2296" t="s">
        <v>1884</v>
      </c>
      <c r="AD210" s="2296"/>
      <c r="AE210" s="2296"/>
      <c r="AF210" s="2296"/>
      <c r="AG210" s="2288"/>
      <c r="AH210" s="2289"/>
      <c r="AI210" s="2289"/>
      <c r="AJ210" s="2289"/>
      <c r="AK210" s="22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1">
        <v>3</v>
      </c>
      <c r="D211" s="2292"/>
      <c r="E211" s="2292"/>
      <c r="F211" s="2292"/>
      <c r="G211" s="2293" t="s">
        <v>1884</v>
      </c>
      <c r="H211" s="2293"/>
      <c r="I211" s="2293"/>
      <c r="J211" s="2293"/>
      <c r="K211" s="2293"/>
      <c r="L211" s="2293"/>
      <c r="M211" s="2293"/>
      <c r="N211" s="2293"/>
      <c r="O211" s="2293"/>
      <c r="P211" s="2294"/>
      <c r="Q211" s="2294"/>
      <c r="R211" s="2294"/>
      <c r="S211" s="2294"/>
      <c r="T211" s="2294"/>
      <c r="U211" s="2295" t="s">
        <v>1884</v>
      </c>
      <c r="V211" s="2295"/>
      <c r="W211" s="2295"/>
      <c r="X211" s="2295"/>
      <c r="Y211" s="2295" t="s">
        <v>1884</v>
      </c>
      <c r="Z211" s="2295"/>
      <c r="AA211" s="2295"/>
      <c r="AB211" s="2295"/>
      <c r="AC211" s="2296" t="s">
        <v>1884</v>
      </c>
      <c r="AD211" s="2296"/>
      <c r="AE211" s="2296"/>
      <c r="AF211" s="2296"/>
      <c r="AG211" s="2288"/>
      <c r="AH211" s="2289"/>
      <c r="AI211" s="2289"/>
      <c r="AJ211" s="2289"/>
      <c r="AK211" s="22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1">
        <v>4</v>
      </c>
      <c r="D212" s="2292"/>
      <c r="E212" s="2292"/>
      <c r="F212" s="2292"/>
      <c r="G212" s="2293" t="s">
        <v>1884</v>
      </c>
      <c r="H212" s="2293"/>
      <c r="I212" s="2293"/>
      <c r="J212" s="2293"/>
      <c r="K212" s="2293"/>
      <c r="L212" s="2293"/>
      <c r="M212" s="2293"/>
      <c r="N212" s="2293"/>
      <c r="O212" s="2293"/>
      <c r="P212" s="2294"/>
      <c r="Q212" s="2294"/>
      <c r="R212" s="2294"/>
      <c r="S212" s="2294"/>
      <c r="T212" s="2294"/>
      <c r="U212" s="2295" t="s">
        <v>1884</v>
      </c>
      <c r="V212" s="2295"/>
      <c r="W212" s="2295"/>
      <c r="X212" s="2295"/>
      <c r="Y212" s="2295" t="s">
        <v>1884</v>
      </c>
      <c r="Z212" s="2295"/>
      <c r="AA212" s="2295"/>
      <c r="AB212" s="2295"/>
      <c r="AC212" s="2296" t="s">
        <v>1884</v>
      </c>
      <c r="AD212" s="2296"/>
      <c r="AE212" s="2296"/>
      <c r="AF212" s="2296"/>
      <c r="AG212" s="2288"/>
      <c r="AH212" s="2289"/>
      <c r="AI212" s="2289"/>
      <c r="AJ212" s="2289"/>
      <c r="AK212" s="22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1">
        <v>5</v>
      </c>
      <c r="D213" s="2292"/>
      <c r="E213" s="2292"/>
      <c r="F213" s="2292"/>
      <c r="G213" s="2293" t="s">
        <v>1884</v>
      </c>
      <c r="H213" s="2293"/>
      <c r="I213" s="2293"/>
      <c r="J213" s="2293"/>
      <c r="K213" s="2293"/>
      <c r="L213" s="2293"/>
      <c r="M213" s="2293"/>
      <c r="N213" s="2293"/>
      <c r="O213" s="2293"/>
      <c r="P213" s="2294"/>
      <c r="Q213" s="2294"/>
      <c r="R213" s="2294"/>
      <c r="S213" s="2294"/>
      <c r="T213" s="2294"/>
      <c r="U213" s="2295" t="s">
        <v>1884</v>
      </c>
      <c r="V213" s="2295"/>
      <c r="W213" s="2295"/>
      <c r="X213" s="2295"/>
      <c r="Y213" s="2295" t="s">
        <v>1884</v>
      </c>
      <c r="Z213" s="2295"/>
      <c r="AA213" s="2295"/>
      <c r="AB213" s="2295"/>
      <c r="AC213" s="2296" t="s">
        <v>1884</v>
      </c>
      <c r="AD213" s="2296"/>
      <c r="AE213" s="2296"/>
      <c r="AF213" s="2296"/>
      <c r="AG213" s="2288"/>
      <c r="AH213" s="2289"/>
      <c r="AI213" s="2289"/>
      <c r="AJ213" s="2289"/>
      <c r="AK213" s="22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1">
        <v>6</v>
      </c>
      <c r="D214" s="2292"/>
      <c r="E214" s="2292"/>
      <c r="F214" s="2292"/>
      <c r="G214" s="2293" t="s">
        <v>1884</v>
      </c>
      <c r="H214" s="2293"/>
      <c r="I214" s="2293"/>
      <c r="J214" s="2293"/>
      <c r="K214" s="2293"/>
      <c r="L214" s="2293"/>
      <c r="M214" s="2293"/>
      <c r="N214" s="2293"/>
      <c r="O214" s="2293"/>
      <c r="P214" s="2294"/>
      <c r="Q214" s="2294"/>
      <c r="R214" s="2294"/>
      <c r="S214" s="2294"/>
      <c r="T214" s="2294"/>
      <c r="U214" s="2295"/>
      <c r="V214" s="2295"/>
      <c r="W214" s="2295"/>
      <c r="X214" s="2295"/>
      <c r="Y214" s="2295"/>
      <c r="Z214" s="2295"/>
      <c r="AA214" s="2295"/>
      <c r="AB214" s="2295"/>
      <c r="AC214" s="2296" t="s">
        <v>1884</v>
      </c>
      <c r="AD214" s="2296"/>
      <c r="AE214" s="2296"/>
      <c r="AF214" s="2296"/>
      <c r="AG214" s="2288"/>
      <c r="AH214" s="2289"/>
      <c r="AI214" s="2289"/>
      <c r="AJ214" s="2289"/>
      <c r="AK214" s="22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1">
        <v>7</v>
      </c>
      <c r="D215" s="2292"/>
      <c r="E215" s="2292"/>
      <c r="F215" s="2292"/>
      <c r="G215" s="2293"/>
      <c r="H215" s="2293"/>
      <c r="I215" s="2293"/>
      <c r="J215" s="2293"/>
      <c r="K215" s="2293"/>
      <c r="L215" s="2293"/>
      <c r="M215" s="2293"/>
      <c r="N215" s="2293"/>
      <c r="O215" s="2293"/>
      <c r="P215" s="2294"/>
      <c r="Q215" s="2294"/>
      <c r="R215" s="2294"/>
      <c r="S215" s="2294"/>
      <c r="T215" s="2294"/>
      <c r="U215" s="2295"/>
      <c r="V215" s="2295"/>
      <c r="W215" s="2295"/>
      <c r="X215" s="2295"/>
      <c r="Y215" s="2295"/>
      <c r="Z215" s="2295"/>
      <c r="AA215" s="2295"/>
      <c r="AB215" s="2295"/>
      <c r="AC215" s="2296" t="s">
        <v>1884</v>
      </c>
      <c r="AD215" s="2296"/>
      <c r="AE215" s="2296"/>
      <c r="AF215" s="2296"/>
      <c r="AG215" s="2288"/>
      <c r="AH215" s="2289"/>
      <c r="AI215" s="2289"/>
      <c r="AJ215" s="2289"/>
      <c r="AK215" s="22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0" t="s">
        <v>2294</v>
      </c>
      <c r="D216" s="2311"/>
      <c r="E216" s="2311"/>
      <c r="F216" s="2311"/>
      <c r="G216" s="2311"/>
      <c r="H216" s="2311"/>
      <c r="I216" s="2311"/>
      <c r="J216" s="2311"/>
      <c r="K216" s="2311"/>
      <c r="L216" s="2311"/>
      <c r="M216" s="2311"/>
      <c r="N216" s="2311"/>
      <c r="O216" s="2311"/>
      <c r="P216" s="2312"/>
      <c r="Q216" s="2312"/>
      <c r="R216" s="2312"/>
      <c r="S216" s="2312"/>
      <c r="T216" s="2312"/>
      <c r="U216" s="2313">
        <f>-SUM(U209:U215)</f>
        <v>0</v>
      </c>
      <c r="V216" s="2313"/>
      <c r="W216" s="2313"/>
      <c r="X216" s="2313"/>
      <c r="Y216" s="2313">
        <f>-SUM(Y209:Y215)</f>
        <v>0</v>
      </c>
      <c r="Z216" s="2313"/>
      <c r="AA216" s="2313"/>
      <c r="AB216" s="2313"/>
      <c r="AC216" s="2314">
        <f>-SUM(AC209:AC215)</f>
        <v>0</v>
      </c>
      <c r="AD216" s="2314"/>
      <c r="AE216" s="2314"/>
      <c r="AF216" s="2314"/>
      <c r="AG216" s="2315"/>
      <c r="AH216" s="2316"/>
      <c r="AI216" s="2316"/>
      <c r="AJ216" s="2316"/>
      <c r="AK216" s="23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8" t="s">
        <v>2292</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194"/>
    </row>
    <row r="222" spans="1:57" ht="15.75" customHeight="1">
      <c r="A222" s="1190"/>
      <c r="B222" s="2301"/>
      <c r="C222" s="2302"/>
      <c r="D222" s="2302"/>
      <c r="E222" s="2302"/>
      <c r="F222" s="2302"/>
      <c r="G222" s="2302"/>
      <c r="H222" s="2302"/>
      <c r="I222" s="2302"/>
      <c r="J222" s="2302"/>
      <c r="K222" s="2302"/>
      <c r="L222" s="2302"/>
      <c r="M222" s="2302"/>
      <c r="N222" s="2302"/>
      <c r="O222" s="2302"/>
      <c r="P222" s="2302"/>
      <c r="Q222" s="2302"/>
      <c r="R222" s="2302"/>
      <c r="S222" s="2302"/>
      <c r="T222" s="2302"/>
      <c r="U222" s="2302"/>
      <c r="V222" s="2302"/>
      <c r="W222" s="2302"/>
      <c r="X222" s="2302"/>
      <c r="Y222" s="2302"/>
      <c r="Z222" s="2302"/>
      <c r="AA222" s="2302"/>
      <c r="AB222" s="2302"/>
      <c r="AC222" s="2302"/>
      <c r="AD222" s="2302"/>
      <c r="AE222" s="2302"/>
      <c r="AF222" s="2302"/>
      <c r="AG222" s="2302"/>
      <c r="AH222" s="2302"/>
      <c r="AI222" s="2302"/>
      <c r="AJ222" s="2302"/>
      <c r="AK222" s="2302"/>
      <c r="AL222" s="2302"/>
      <c r="AM222" s="2302"/>
      <c r="AN222" s="2302"/>
      <c r="AO222" s="2302"/>
      <c r="AP222" s="2302"/>
      <c r="AQ222" s="2302"/>
      <c r="AR222" s="2302"/>
      <c r="AS222" s="2302"/>
      <c r="AT222" s="2302"/>
      <c r="AU222" s="2302"/>
      <c r="AV222" s="2302"/>
      <c r="AW222" s="2302"/>
      <c r="AX222" s="2302"/>
      <c r="AY222" s="2302"/>
      <c r="AZ222" s="2302"/>
      <c r="BA222" s="2302"/>
      <c r="BB222" s="2302"/>
      <c r="BC222" s="2302"/>
      <c r="BD222" s="2303"/>
      <c r="BE222" s="1194"/>
    </row>
    <row r="223" spans="1:57" ht="15.75" customHeight="1">
      <c r="A223" s="1190"/>
      <c r="B223" s="2304" t="s">
        <v>2291</v>
      </c>
      <c r="C223" s="2305"/>
      <c r="D223" s="2305"/>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2305"/>
      <c r="BB223" s="2305"/>
      <c r="BC223" s="2305"/>
      <c r="BD223" s="2306"/>
      <c r="BE223" s="1194"/>
    </row>
    <row r="224" spans="1:57" ht="15.75" customHeight="1">
      <c r="A224" s="1190"/>
      <c r="B224" s="2304" t="s">
        <v>2290</v>
      </c>
      <c r="C224" s="2305"/>
      <c r="D224" s="2305"/>
      <c r="E224" s="2305"/>
      <c r="F224" s="2305"/>
      <c r="G224" s="2305"/>
      <c r="H224" s="2305"/>
      <c r="I224" s="2305"/>
      <c r="J224" s="2305"/>
      <c r="K224" s="2305"/>
      <c r="L224" s="2305"/>
      <c r="M224" s="2305"/>
      <c r="N224" s="2305"/>
      <c r="O224" s="2305"/>
      <c r="P224" s="2305"/>
      <c r="Q224" s="2305"/>
      <c r="R224" s="2305"/>
      <c r="S224" s="2305"/>
      <c r="T224" s="2305"/>
      <c r="U224" s="2305"/>
      <c r="V224" s="2305"/>
      <c r="W224" s="2305"/>
      <c r="X224" s="2305"/>
      <c r="Y224" s="2305"/>
      <c r="Z224" s="2305"/>
      <c r="AA224" s="2305"/>
      <c r="AB224" s="2305"/>
      <c r="AC224" s="2305"/>
      <c r="AD224" s="2305"/>
      <c r="AE224" s="2305"/>
      <c r="AF224" s="2305"/>
      <c r="AG224" s="2305"/>
      <c r="AH224" s="2305"/>
      <c r="AI224" s="2305"/>
      <c r="AJ224" s="2305"/>
      <c r="AK224" s="2305"/>
      <c r="AL224" s="2305"/>
      <c r="AM224" s="2305"/>
      <c r="AN224" s="2305"/>
      <c r="AO224" s="2305"/>
      <c r="AP224" s="2305"/>
      <c r="AQ224" s="2305"/>
      <c r="AR224" s="2305"/>
      <c r="AS224" s="2305"/>
      <c r="AT224" s="2305"/>
      <c r="AU224" s="2305"/>
      <c r="AV224" s="2305"/>
      <c r="AW224" s="2305"/>
      <c r="AX224" s="2305"/>
      <c r="AY224" s="2305"/>
      <c r="AZ224" s="2305"/>
      <c r="BA224" s="2305"/>
      <c r="BB224" s="2305"/>
      <c r="BC224" s="2305"/>
      <c r="BD224" s="23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7" t="s">
        <v>2289</v>
      </c>
      <c r="C226" s="2197"/>
      <c r="D226" s="2197"/>
      <c r="E226" s="2197"/>
      <c r="F226" s="2197"/>
      <c r="G226" s="2197"/>
      <c r="H226" s="2197"/>
      <c r="I226" s="2197"/>
      <c r="J226" s="2197"/>
      <c r="K226" s="2197"/>
      <c r="L226" s="2197"/>
      <c r="M226" s="2197"/>
      <c r="N226" s="2197"/>
      <c r="O226" s="2197"/>
      <c r="P226" s="2197"/>
      <c r="Q226" s="2197"/>
      <c r="R226" s="2197"/>
      <c r="S226" s="2197"/>
      <c r="T226" s="2197"/>
      <c r="U226" s="2197"/>
      <c r="V226" s="2197"/>
      <c r="W226" s="2197"/>
      <c r="X226" s="2197"/>
      <c r="Y226" s="2197"/>
      <c r="Z226" s="2197"/>
      <c r="AA226" s="2197"/>
      <c r="AB226" s="2197"/>
      <c r="AC226" s="2197"/>
      <c r="AD226" s="2197"/>
      <c r="AE226" s="2197"/>
      <c r="AF226" s="2197"/>
      <c r="AG226" s="2197"/>
      <c r="AH226" s="2197"/>
      <c r="AI226" s="2197"/>
      <c r="AJ226" s="2197"/>
      <c r="AK226" s="2197"/>
      <c r="AL226" s="2197"/>
      <c r="AM226" s="2197"/>
      <c r="AN226" s="2197"/>
      <c r="AO226" s="2197"/>
      <c r="AP226" s="2197"/>
      <c r="AQ226" s="2197"/>
      <c r="AR226" s="2197"/>
      <c r="AS226" s="2197"/>
      <c r="AT226" s="2197"/>
      <c r="AU226" s="2197"/>
      <c r="AV226" s="2197"/>
      <c r="AW226" s="2197"/>
      <c r="AX226" s="2197"/>
      <c r="AY226" s="2197"/>
      <c r="AZ226" s="2197"/>
      <c r="BA226" s="2197"/>
      <c r="BB226" s="2197"/>
      <c r="BC226" s="2197"/>
      <c r="BD226" s="230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9" t="s">
        <v>2287</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7" t="s">
        <v>2286</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1190"/>
      <c r="BB232" s="1190"/>
      <c r="BC232" s="1190"/>
      <c r="BD232" s="1194"/>
      <c r="BE232" s="1194"/>
    </row>
    <row r="233" spans="1:57" ht="15.75" customHeight="1">
      <c r="A233" s="1190"/>
      <c r="B233" s="1189"/>
      <c r="C233" s="1190"/>
      <c r="D233" s="1190"/>
      <c r="E233" s="1190"/>
      <c r="F233" s="1190"/>
      <c r="G233" s="1190"/>
      <c r="H233" s="2327"/>
      <c r="I233" s="2327"/>
      <c r="J233" s="2327"/>
      <c r="K233" s="2327"/>
      <c r="L233" s="2327"/>
      <c r="M233" s="2327"/>
      <c r="N233" s="2327"/>
      <c r="O233" s="2327"/>
      <c r="P233" s="2327"/>
      <c r="Q233" s="2327"/>
      <c r="R233" s="2327"/>
      <c r="S233" s="2327"/>
      <c r="T233" s="2327"/>
      <c r="U233" s="2327"/>
      <c r="V233" s="2327"/>
      <c r="W233" s="2327"/>
      <c r="X233" s="2327"/>
      <c r="Y233" s="2327"/>
      <c r="Z233" s="2327"/>
      <c r="AA233" s="2327"/>
      <c r="AB233" s="2327"/>
      <c r="AC233" s="232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1190"/>
      <c r="BB233" s="1190"/>
      <c r="BC233" s="1190"/>
      <c r="BD233" s="1194"/>
      <c r="BE233" s="1194"/>
    </row>
    <row r="234" spans="1:57" ht="15.75" customHeight="1">
      <c r="A234" s="1190"/>
      <c r="B234" s="1189"/>
      <c r="C234" s="1190"/>
      <c r="D234" s="1190"/>
      <c r="E234" s="1190"/>
      <c r="F234" s="1190"/>
      <c r="G234" s="1190"/>
      <c r="H234" s="2327"/>
      <c r="I234" s="2327"/>
      <c r="J234" s="2327"/>
      <c r="K234" s="2327"/>
      <c r="L234" s="2327"/>
      <c r="M234" s="2327"/>
      <c r="N234" s="2327"/>
      <c r="O234" s="2327"/>
      <c r="P234" s="2327"/>
      <c r="Q234" s="2327"/>
      <c r="R234" s="2327"/>
      <c r="S234" s="2327"/>
      <c r="T234" s="2327"/>
      <c r="U234" s="2327"/>
      <c r="V234" s="2327"/>
      <c r="W234" s="2327"/>
      <c r="X234" s="2327"/>
      <c r="Y234" s="2327"/>
      <c r="Z234" s="2327"/>
      <c r="AA234" s="2327"/>
      <c r="AB234" s="2327"/>
      <c r="AC234" s="232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1190"/>
      <c r="BB234" s="1190"/>
      <c r="BC234" s="1190"/>
      <c r="BD234" s="1194"/>
      <c r="BE234" s="1194"/>
    </row>
    <row r="235" spans="1:57" ht="15.75" customHeight="1">
      <c r="A235" s="1190"/>
      <c r="B235" s="1189"/>
      <c r="C235" s="1190"/>
      <c r="D235" s="1190"/>
      <c r="E235" s="1190"/>
      <c r="F235" s="1190"/>
      <c r="G235" s="1190"/>
      <c r="H235" s="2327"/>
      <c r="I235" s="2327"/>
      <c r="J235" s="2327"/>
      <c r="K235" s="2327"/>
      <c r="L235" s="2327"/>
      <c r="M235" s="2327"/>
      <c r="N235" s="2327"/>
      <c r="O235" s="2327"/>
      <c r="P235" s="2327"/>
      <c r="Q235" s="2327"/>
      <c r="R235" s="2327"/>
      <c r="S235" s="2327"/>
      <c r="T235" s="2327"/>
      <c r="U235" s="2327"/>
      <c r="V235" s="2327"/>
      <c r="W235" s="2327"/>
      <c r="X235" s="2327"/>
      <c r="Y235" s="2327"/>
      <c r="Z235" s="2327"/>
      <c r="AA235" s="2327"/>
      <c r="AB235" s="2327"/>
      <c r="AC235" s="232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8" t="s">
        <v>2285</v>
      </c>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2328"/>
      <c r="AD237" s="2328"/>
      <c r="AE237" s="2328"/>
      <c r="AF237" s="2328"/>
      <c r="AG237" s="2328"/>
      <c r="AH237" s="2328"/>
      <c r="AI237" s="2328"/>
      <c r="AJ237" s="2328"/>
      <c r="AK237" s="2328"/>
      <c r="AL237" s="2328"/>
      <c r="AM237" s="2328"/>
      <c r="AN237" s="2328"/>
      <c r="AO237" s="2328"/>
      <c r="AP237" s="2328"/>
      <c r="AQ237" s="2328"/>
      <c r="AR237" s="2328"/>
      <c r="AS237" s="2328"/>
      <c r="AT237" s="2328"/>
      <c r="AU237" s="2328"/>
      <c r="AV237" s="232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8" t="s">
        <v>2284</v>
      </c>
      <c r="I239" s="2318"/>
      <c r="J239" s="2318"/>
      <c r="K239" s="2318"/>
      <c r="L239" s="1239"/>
      <c r="M239" s="1239"/>
      <c r="N239" s="1239"/>
      <c r="O239" s="1239"/>
      <c r="P239" s="1239"/>
      <c r="Q239" s="1239"/>
      <c r="R239" s="1239"/>
      <c r="S239" s="2329"/>
      <c r="T239" s="2330"/>
      <c r="U239" s="2330"/>
      <c r="V239" s="2330"/>
      <c r="W239" s="2330"/>
      <c r="X239" s="2330"/>
      <c r="Y239" s="2330"/>
      <c r="Z239" s="2330"/>
      <c r="AA239" s="2330"/>
      <c r="AB239" s="2330"/>
      <c r="AC239" s="2330"/>
      <c r="AD239" s="2330"/>
      <c r="AE239" s="2330"/>
      <c r="AF239" s="2330"/>
      <c r="AG239" s="2330"/>
      <c r="AH239" s="2330"/>
      <c r="AI239" s="2330"/>
      <c r="AJ239" s="233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8" t="s">
        <v>2283</v>
      </c>
      <c r="I241" s="2318"/>
      <c r="J241" s="2318"/>
      <c r="K241" s="1241"/>
      <c r="L241" s="1239"/>
      <c r="M241" s="1239"/>
      <c r="N241" s="1239"/>
      <c r="O241" s="1239"/>
      <c r="P241" s="1239"/>
      <c r="Q241" s="1239"/>
      <c r="R241" s="1239"/>
      <c r="S241" s="2319"/>
      <c r="T241" s="2320"/>
      <c r="U241" s="2320"/>
      <c r="V241" s="2320"/>
      <c r="W241" s="2320"/>
      <c r="X241" s="2320"/>
      <c r="Y241" s="2320"/>
      <c r="Z241" s="2320"/>
      <c r="AA241" s="2320"/>
      <c r="AB241" s="2320"/>
      <c r="AC241" s="2320"/>
      <c r="AD241" s="2320"/>
      <c r="AE241" s="2320"/>
      <c r="AF241" s="2320"/>
      <c r="AG241" s="2320"/>
      <c r="AH241" s="2320"/>
      <c r="AI241" s="2320"/>
      <c r="AJ241" s="232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8" t="s">
        <v>441</v>
      </c>
      <c r="I243" s="2318"/>
      <c r="J243" s="1241"/>
      <c r="K243" s="1241"/>
      <c r="L243" s="1239"/>
      <c r="M243" s="1239"/>
      <c r="N243" s="1239"/>
      <c r="O243" s="1239"/>
      <c r="P243" s="1239"/>
      <c r="Q243" s="1239"/>
      <c r="R243" s="1239"/>
      <c r="S243" s="2319"/>
      <c r="T243" s="2320"/>
      <c r="U243" s="2320"/>
      <c r="V243" s="2320"/>
      <c r="W243" s="2320"/>
      <c r="X243" s="2320"/>
      <c r="Y243" s="2320"/>
      <c r="Z243" s="2320"/>
      <c r="AA243" s="2320"/>
      <c r="AB243" s="2320"/>
      <c r="AC243" s="2320"/>
      <c r="AD243" s="2320"/>
      <c r="AE243" s="2320"/>
      <c r="AF243" s="2320"/>
      <c r="AG243" s="2320"/>
      <c r="AH243" s="2320"/>
      <c r="AI243" s="2320"/>
      <c r="AJ243" s="232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2" t="s">
        <v>2282</v>
      </c>
      <c r="I245" s="2322"/>
      <c r="J245" s="2322"/>
      <c r="K245" s="2322"/>
      <c r="L245" s="2322"/>
      <c r="M245" s="2322"/>
      <c r="N245" s="2322"/>
      <c r="O245" s="2322"/>
      <c r="P245" s="1239"/>
      <c r="Q245" s="1239"/>
      <c r="R245" s="1239"/>
      <c r="S245" s="2319"/>
      <c r="T245" s="2320"/>
      <c r="U245" s="2320"/>
      <c r="V245" s="2320"/>
      <c r="W245" s="2320"/>
      <c r="X245" s="2320"/>
      <c r="Y245" s="2320"/>
      <c r="Z245" s="2320"/>
      <c r="AA245" s="2320"/>
      <c r="AB245" s="2320"/>
      <c r="AC245" s="2320"/>
      <c r="AD245" s="2320"/>
      <c r="AE245" s="2320"/>
      <c r="AF245" s="2320"/>
      <c r="AG245" s="2320"/>
      <c r="AH245" s="2320"/>
      <c r="AI245" s="2320"/>
      <c r="AJ245" s="232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3" t="s">
        <v>2281</v>
      </c>
      <c r="I247" s="2323"/>
      <c r="J247" s="1239"/>
      <c r="K247" s="1239"/>
      <c r="L247" s="1239"/>
      <c r="M247" s="1239"/>
      <c r="N247" s="1239"/>
      <c r="O247" s="1239"/>
      <c r="P247" s="1239"/>
      <c r="Q247" s="1239"/>
      <c r="R247" s="1239"/>
      <c r="S247" s="2324"/>
      <c r="T247" s="2325"/>
      <c r="U247" s="2325"/>
      <c r="V247" s="2325"/>
      <c r="W247" s="2325"/>
      <c r="X247" s="2325"/>
      <c r="Y247" s="2325"/>
      <c r="Z247" s="2325"/>
      <c r="AA247" s="2325"/>
      <c r="AB247" s="2325"/>
      <c r="AC247" s="2325"/>
      <c r="AD247" s="2325"/>
      <c r="AE247" s="2325"/>
      <c r="AF247" s="2325"/>
      <c r="AG247" s="2325"/>
      <c r="AH247" s="2325"/>
      <c r="AI247" s="2325"/>
      <c r="AJ247" s="232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L51" sqref="AL51"/>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3" t="s">
        <v>1280</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3"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3"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3"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3"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3" customHeight="1">
      <c r="B11" s="2344" t="s">
        <v>375</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62227582</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23000000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3" customHeight="1">
      <c r="B12" s="2359" t="s">
        <v>497</v>
      </c>
      <c r="C12" s="1286"/>
      <c r="D12" s="1286"/>
      <c r="E12" s="1286"/>
      <c r="F12" s="1286"/>
      <c r="G12" s="1286"/>
      <c r="H12" s="1286"/>
      <c r="I12" s="1286"/>
      <c r="J12" s="1286"/>
      <c r="K12" s="1286"/>
      <c r="L12" s="1286"/>
      <c r="M12" s="1286"/>
      <c r="N12" s="1286"/>
      <c r="O12" s="1286"/>
      <c r="P12" s="1286"/>
      <c r="Q12" s="1286"/>
      <c r="R12" s="1286"/>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3" customHeight="1">
      <c r="B13" s="435"/>
      <c r="C13" s="2361" t="s">
        <v>498</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61" t="s">
        <v>499</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 customHeight="1">
      <c r="B15" s="435"/>
      <c r="C15" s="2361" t="s">
        <v>500</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 customHeight="1">
      <c r="B16" s="435"/>
      <c r="C16" s="2361" t="s">
        <v>805</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 customHeight="1">
      <c r="B17" s="435"/>
      <c r="C17" s="2361" t="s">
        <v>501</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 customHeight="1">
      <c r="A18"/>
      <c r="B18" s="1150"/>
      <c r="C18" s="1847" t="s">
        <v>960</v>
      </c>
      <c r="D18" s="1847"/>
      <c r="E18" s="1847"/>
      <c r="F18" s="1847"/>
      <c r="G18" s="1847"/>
      <c r="H18" s="1847"/>
      <c r="I18" s="1847"/>
      <c r="J18" s="1847"/>
      <c r="K18" s="1847"/>
      <c r="L18" s="1847"/>
      <c r="M18" s="1847"/>
      <c r="N18" s="1847"/>
      <c r="O18" s="1847"/>
      <c r="P18" s="1847"/>
      <c r="Q18" s="1847"/>
      <c r="R18" s="1847"/>
      <c r="S18" s="1848"/>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 customHeight="1">
      <c r="B19" s="1150"/>
      <c r="C19" s="1847" t="s">
        <v>960</v>
      </c>
      <c r="D19" s="1847"/>
      <c r="E19" s="1847"/>
      <c r="F19" s="1847"/>
      <c r="G19" s="1847"/>
      <c r="H19" s="1847"/>
      <c r="I19" s="1847"/>
      <c r="J19" s="1847"/>
      <c r="K19" s="1847"/>
      <c r="L19" s="1847"/>
      <c r="M19" s="1847"/>
      <c r="N19" s="1847"/>
      <c r="O19" s="1847"/>
      <c r="P19" s="1847"/>
      <c r="Q19" s="1847"/>
      <c r="R19" s="1847"/>
      <c r="S19" s="1848"/>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 customHeight="1">
      <c r="B20" s="2344" t="s">
        <v>502</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3" customHeight="1">
      <c r="B21" s="2344" t="s">
        <v>1263</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3" customHeight="1">
      <c r="B22" s="2344" t="s">
        <v>503</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3" customHeight="1">
      <c r="B23" s="2344" t="s">
        <v>504</v>
      </c>
      <c r="C23" s="2345"/>
      <c r="D23" s="2345"/>
      <c r="E23" s="2345"/>
      <c r="F23" s="2345"/>
      <c r="G23" s="2345"/>
      <c r="H23" s="2345"/>
      <c r="I23" s="2345"/>
      <c r="J23" s="2345"/>
      <c r="K23" s="2345"/>
      <c r="L23" s="2345"/>
      <c r="M23" s="2345"/>
      <c r="N23" s="2345"/>
      <c r="O23" s="2345"/>
      <c r="P23" s="2345"/>
      <c r="Q23" s="2345"/>
      <c r="R23" s="2345"/>
      <c r="S23" s="2346"/>
      <c r="T23" s="2337">
        <f>T11+T22</f>
        <v>62227582</v>
      </c>
      <c r="U23" s="2338"/>
      <c r="V23" s="2338"/>
      <c r="W23" s="2338"/>
      <c r="X23" s="2338"/>
      <c r="Y23" s="2337">
        <f>Y11+Y22</f>
        <v>0</v>
      </c>
      <c r="Z23" s="2338"/>
      <c r="AA23" s="2338"/>
      <c r="AB23" s="2338"/>
      <c r="AC23" s="2338"/>
      <c r="AD23" s="2337">
        <f>AD11+AD22</f>
        <v>23000000</v>
      </c>
      <c r="AE23" s="2338"/>
      <c r="AF23" s="2338"/>
      <c r="AG23" s="2338"/>
      <c r="AH23" s="2338"/>
      <c r="AI23" s="2337">
        <f>AI11+AI22</f>
        <v>0</v>
      </c>
      <c r="AJ23" s="2338"/>
      <c r="AK23" s="2338"/>
      <c r="AL23" s="2338"/>
      <c r="AM23" s="2338"/>
    </row>
    <row r="24" spans="1:40" ht="13" customHeight="1">
      <c r="B24" s="2344" t="s">
        <v>961</v>
      </c>
      <c r="C24" s="2345"/>
      <c r="D24" s="2345"/>
      <c r="E24" s="2345"/>
      <c r="F24" s="2345"/>
      <c r="G24" s="2345"/>
      <c r="H24" s="2345"/>
      <c r="I24" s="2345"/>
      <c r="J24" s="2345"/>
      <c r="K24" s="2345"/>
      <c r="L24" s="2345"/>
      <c r="M24" s="2345"/>
      <c r="N24" s="2345"/>
      <c r="O24" s="2345"/>
      <c r="P24" s="2345"/>
      <c r="Q24" s="2345"/>
      <c r="R24" s="2345"/>
      <c r="S24" s="2346"/>
      <c r="T24" s="2339">
        <f>Application!AJ1053</f>
        <v>121778538</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3" customHeight="1">
      <c r="B25" s="2348" t="s">
        <v>1264</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 customHeight="1">
      <c r="B26" s="2344" t="s">
        <v>505</v>
      </c>
      <c r="C26" s="2345"/>
      <c r="D26" s="2345"/>
      <c r="E26" s="2345"/>
      <c r="F26" s="2345"/>
      <c r="G26" s="2345"/>
      <c r="H26" s="2345"/>
      <c r="I26" s="2345"/>
      <c r="J26" s="2345"/>
      <c r="K26" s="2345"/>
      <c r="L26" s="2345"/>
      <c r="M26" s="2345"/>
      <c r="N26" s="2345"/>
      <c r="O26" s="2345"/>
      <c r="P26" s="2345"/>
      <c r="Q26" s="2345"/>
      <c r="R26" s="2345"/>
      <c r="S26" s="2346"/>
      <c r="T26" s="2337">
        <f>T23*T25</f>
        <v>80895856.600000009</v>
      </c>
      <c r="U26" s="2338"/>
      <c r="V26" s="2338"/>
      <c r="W26" s="2338"/>
      <c r="X26" s="2338"/>
      <c r="Y26" s="2337">
        <f>Y23*Y25</f>
        <v>0</v>
      </c>
      <c r="Z26" s="2338"/>
      <c r="AA26" s="2338"/>
      <c r="AB26" s="2338"/>
      <c r="AC26" s="2338"/>
      <c r="AD26" s="2337">
        <f>AD23*AD25</f>
        <v>23000000</v>
      </c>
      <c r="AE26" s="2338"/>
      <c r="AF26" s="2338"/>
      <c r="AG26" s="2338"/>
      <c r="AH26" s="2338"/>
      <c r="AI26" s="2337">
        <f>AI23*AI25</f>
        <v>0</v>
      </c>
      <c r="AJ26" s="2338"/>
      <c r="AK26" s="2338"/>
      <c r="AL26" s="2338"/>
      <c r="AM26" s="2338"/>
    </row>
    <row r="27" spans="1:40" ht="13" customHeight="1">
      <c r="A27" s="410"/>
      <c r="B27" s="2351" t="s">
        <v>426</v>
      </c>
      <c r="C27" s="2352"/>
      <c r="D27" s="2352"/>
      <c r="E27" s="2352"/>
      <c r="F27" s="2352"/>
      <c r="G27" s="2352"/>
      <c r="H27" s="2352"/>
      <c r="I27" s="2352"/>
      <c r="J27" s="2352"/>
      <c r="K27" s="2352"/>
      <c r="L27" s="2352"/>
      <c r="M27" s="2352"/>
      <c r="N27" s="2352"/>
      <c r="O27" s="2352"/>
      <c r="P27" s="2352"/>
      <c r="Q27" s="2352"/>
      <c r="R27" s="2352"/>
      <c r="S27" s="2353"/>
      <c r="T27" s="2357">
        <f>Application!$AG$445</f>
        <v>1</v>
      </c>
      <c r="U27" s="2358"/>
      <c r="V27" s="2358"/>
      <c r="W27" s="2358"/>
      <c r="X27" s="2358"/>
      <c r="Y27" s="2357">
        <f>Application!$AG$445</f>
        <v>1</v>
      </c>
      <c r="Z27" s="2358"/>
      <c r="AA27" s="2358"/>
      <c r="AB27" s="2358"/>
      <c r="AC27" s="2358"/>
      <c r="AD27" s="2357">
        <f>Application!$AG$445</f>
        <v>1</v>
      </c>
      <c r="AE27" s="2358"/>
      <c r="AF27" s="2358"/>
      <c r="AG27" s="2358"/>
      <c r="AH27" s="2358"/>
      <c r="AI27" s="2357">
        <f>Application!$AG$445</f>
        <v>1</v>
      </c>
      <c r="AJ27" s="2358"/>
      <c r="AK27" s="2358"/>
      <c r="AL27" s="2358"/>
      <c r="AM27" s="2358"/>
    </row>
    <row r="28" spans="1:40" ht="13"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37">
        <f>IF(ISERROR((T26*T27)),0,(T26*T27))</f>
        <v>80895856.600000009</v>
      </c>
      <c r="U28" s="2338"/>
      <c r="V28" s="2338"/>
      <c r="W28" s="2338"/>
      <c r="X28" s="2338"/>
      <c r="Y28" s="2337">
        <f>IF(ISERROR((Y26*Y27)),0,(Y26*Y27))</f>
        <v>0</v>
      </c>
      <c r="Z28" s="2338"/>
      <c r="AA28" s="2338"/>
      <c r="AB28" s="2338"/>
      <c r="AC28" s="2338"/>
      <c r="AD28" s="2337">
        <f>IF(ISERROR((AD26*AD27)),0,(AD26*AD27))</f>
        <v>23000000</v>
      </c>
      <c r="AE28" s="2338"/>
      <c r="AF28" s="2338"/>
      <c r="AG28" s="2338"/>
      <c r="AH28" s="2338"/>
      <c r="AI28" s="2337">
        <f>IF(ISERROR((AI26*AI27)),0,(AI26*AI27))</f>
        <v>0</v>
      </c>
      <c r="AJ28" s="2338"/>
      <c r="AK28" s="2338"/>
      <c r="AL28" s="2338"/>
      <c r="AM28" s="2338"/>
    </row>
    <row r="29" spans="1:40" ht="13" customHeight="1">
      <c r="B29" s="2344" t="s">
        <v>523</v>
      </c>
      <c r="C29" s="2345"/>
      <c r="D29" s="2345"/>
      <c r="E29" s="2345"/>
      <c r="F29" s="2345"/>
      <c r="G29" s="2345"/>
      <c r="H29" s="2345"/>
      <c r="I29" s="2345"/>
      <c r="J29" s="2345"/>
      <c r="K29" s="2345"/>
      <c r="L29" s="2345"/>
      <c r="M29" s="2345"/>
      <c r="N29" s="2345"/>
      <c r="O29" s="2345"/>
      <c r="P29" s="2345"/>
      <c r="Q29" s="2345"/>
      <c r="R29" s="2345"/>
      <c r="S29" s="2346"/>
      <c r="T29" s="2339">
        <f>T28+Y28+AD28+AI28</f>
        <v>103895856.60000001</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3" customHeight="1">
      <c r="B30" s="2347" t="s">
        <v>1266</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3" customHeight="1">
      <c r="B31" s="2347" t="s">
        <v>1265</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1154</v>
      </c>
      <c r="Z35" s="2365"/>
      <c r="AA35" s="2365"/>
      <c r="AB35" s="2365"/>
      <c r="AC35" s="2365"/>
      <c r="AD35" s="2385" t="s">
        <v>369</v>
      </c>
      <c r="AE35" s="2385"/>
      <c r="AF35" s="2385"/>
      <c r="AG35" s="2385"/>
      <c r="AH35" s="2385"/>
    </row>
    <row r="36" spans="1:76" ht="13" customHeight="1">
      <c r="B36" s="407"/>
      <c r="X36" s="412"/>
      <c r="Y36" s="2365"/>
      <c r="Z36" s="2365"/>
      <c r="AA36" s="2365"/>
      <c r="AB36" s="2365"/>
      <c r="AC36" s="2365"/>
      <c r="AD36" s="2385"/>
      <c r="AE36" s="2385"/>
      <c r="AF36" s="2385"/>
      <c r="AG36" s="2385"/>
      <c r="AH36" s="238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3"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80895856.600000009</v>
      </c>
      <c r="Z38" s="2338"/>
      <c r="AA38" s="2338"/>
      <c r="AB38" s="2338"/>
      <c r="AC38" s="2338"/>
      <c r="AD38" s="2338">
        <f>IF(T24&gt;=(T23+Y23+AD23+AI23),AD28+AI28,0)</f>
        <v>23000000</v>
      </c>
      <c r="AE38" s="2338"/>
      <c r="AF38" s="2338"/>
      <c r="AG38" s="2338"/>
      <c r="AH38" s="2338"/>
    </row>
    <row r="39" spans="1:76" ht="13"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3" customHeight="1">
      <c r="A40" s="404"/>
      <c r="B40" s="2344" t="s">
        <v>642</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3235834</v>
      </c>
      <c r="Z40" s="2338"/>
      <c r="AA40" s="2338"/>
      <c r="AB40" s="2338"/>
      <c r="AC40" s="2338"/>
      <c r="AD40" s="2337">
        <f>ROUND(AD38*AD39,0)</f>
        <v>920000</v>
      </c>
      <c r="AE40" s="2338"/>
      <c r="AF40" s="2338"/>
      <c r="AG40" s="2338"/>
      <c r="AH40" s="2338"/>
    </row>
    <row r="41" spans="1:76" ht="13" customHeight="1">
      <c r="B41" s="2344" t="s">
        <v>643</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4155834</v>
      </c>
      <c r="Z41" s="2340"/>
      <c r="AA41" s="2340"/>
      <c r="AB41" s="2340"/>
      <c r="AC41" s="2340"/>
      <c r="AD41" s="2340"/>
      <c r="AE41" s="2340"/>
      <c r="AF41" s="2340"/>
      <c r="AG41" s="2340"/>
      <c r="AH41" s="233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2" t="s">
        <v>1276</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3" customHeight="1" thickTop="1"/>
    <row r="46" spans="1:76" ht="13" customHeight="1">
      <c r="A46" s="404" t="s">
        <v>586</v>
      </c>
      <c r="C46" s="404" t="s">
        <v>282</v>
      </c>
    </row>
    <row r="47" spans="1:76" ht="13" customHeight="1">
      <c r="D47" s="404" t="s">
        <v>283</v>
      </c>
      <c r="AB47" s="2354">
        <f>'Sources and Uses Budget'!B105-MAX(IF('Sources and Uses Budget'!B15="",0,'Sources and Uses Budget'!B15),IF(Application!AG394="",0,Application!AG394))</f>
        <v>90897429</v>
      </c>
      <c r="AC47" s="2355"/>
      <c r="AD47" s="2355"/>
      <c r="AE47" s="2355"/>
      <c r="AF47" s="2356"/>
    </row>
    <row r="48" spans="1:76" ht="13" customHeight="1">
      <c r="D48" s="404" t="s">
        <v>21</v>
      </c>
      <c r="AB48" s="2354">
        <f>Application!AO639-MAX(IF('Sources and Uses Budget'!B15="",0,'Sources and Uses Budget'!B15),IF(Application!AG394="",0,Application!AG394))</f>
        <v>57650757</v>
      </c>
      <c r="AC48" s="2355"/>
      <c r="AD48" s="2355"/>
      <c r="AE48" s="2355"/>
      <c r="AF48" s="2356"/>
    </row>
    <row r="49" spans="1:76" ht="13" customHeight="1">
      <c r="D49" s="404" t="s">
        <v>91</v>
      </c>
      <c r="AB49" s="2354">
        <f>AB47-AB48</f>
        <v>33246672</v>
      </c>
      <c r="AC49" s="2355"/>
      <c r="AD49" s="2355"/>
      <c r="AE49" s="2355"/>
      <c r="AF49" s="2356"/>
    </row>
    <row r="50" spans="1:76" ht="13" customHeight="1">
      <c r="D50" s="404" t="s">
        <v>681</v>
      </c>
      <c r="AA50" s="415"/>
      <c r="AB50" s="2381">
        <v>0.8</v>
      </c>
      <c r="AC50" s="2382"/>
      <c r="AD50" s="2382"/>
      <c r="AE50" s="2382"/>
      <c r="AF50" s="2383"/>
    </row>
    <row r="51" spans="1:76" s="417" customFormat="1" ht="13" customHeight="1">
      <c r="A51" s="402"/>
      <c r="B51" s="402"/>
      <c r="C51" s="402"/>
      <c r="D51" s="402"/>
      <c r="E51" s="2384" t="s">
        <v>2611</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4">
        <f>ROUND(IF(ISERROR((AB49/AB50)),0,(AB49/AB50)),0)</f>
        <v>41558340</v>
      </c>
      <c r="AC54" s="2355"/>
      <c r="AD54" s="2355"/>
      <c r="AE54" s="2355"/>
      <c r="AF54" s="2356"/>
    </row>
    <row r="55" spans="1:76" ht="13" customHeight="1">
      <c r="D55" s="404" t="s">
        <v>333</v>
      </c>
      <c r="AB55" s="2354">
        <f>(AB54/10)</f>
        <v>4155834</v>
      </c>
      <c r="AC55" s="2355"/>
      <c r="AD55" s="2355"/>
      <c r="AE55" s="2355"/>
      <c r="AF55" s="2356"/>
    </row>
    <row r="56" spans="1:76" ht="13" customHeight="1">
      <c r="D56" s="404" t="s">
        <v>756</v>
      </c>
      <c r="AB56" s="2354">
        <f>ROUND((IF((Y41&lt;AB55),Y41,AB55)),0)</f>
        <v>4155834</v>
      </c>
      <c r="AC56" s="2355"/>
      <c r="AD56" s="2355"/>
      <c r="AE56" s="2355"/>
      <c r="AF56" s="2356"/>
    </row>
    <row r="57" spans="1:76" ht="13" customHeight="1">
      <c r="D57" s="404" t="s">
        <v>755</v>
      </c>
      <c r="AB57" s="2354">
        <f>ROUND((10*AB56*AB50),0)</f>
        <v>33246672</v>
      </c>
      <c r="AC57" s="2355"/>
      <c r="AD57" s="2355"/>
      <c r="AE57" s="2355"/>
      <c r="AF57" s="2356"/>
    </row>
    <row r="58" spans="1:76" ht="13" customHeight="1">
      <c r="D58" s="404"/>
      <c r="AB58" s="423"/>
      <c r="AC58" s="423"/>
      <c r="AD58" s="423"/>
      <c r="AE58" s="423"/>
      <c r="AF58" s="423"/>
    </row>
    <row r="59" spans="1:76" ht="13" customHeight="1">
      <c r="D59" s="404" t="s">
        <v>754</v>
      </c>
      <c r="AB59" s="2377">
        <f>AB49-AB57</f>
        <v>0</v>
      </c>
      <c r="AC59" s="2377"/>
      <c r="AD59" s="2377"/>
      <c r="AE59" s="2377"/>
      <c r="AF59" s="2377"/>
    </row>
    <row r="60" spans="1:76" ht="13" customHeight="1">
      <c r="D60" s="404"/>
      <c r="AB60" s="423"/>
      <c r="AC60" s="423"/>
      <c r="AD60" s="423"/>
      <c r="AE60" s="423"/>
      <c r="AF60" s="423"/>
    </row>
    <row r="61" spans="1:76" s="204" customFormat="1" ht="13"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3" customHeight="1" thickTop="1"/>
    <row r="63" spans="1:76" ht="13" customHeight="1">
      <c r="A63" s="404" t="s">
        <v>589</v>
      </c>
      <c r="C63" s="205" t="s">
        <v>1248</v>
      </c>
      <c r="Y63" s="2378" t="s">
        <v>984</v>
      </c>
      <c r="Z63" s="2378"/>
      <c r="AA63" s="2378"/>
      <c r="AB63" s="2378"/>
      <c r="AC63" s="2378"/>
      <c r="AD63" s="2378" t="s">
        <v>369</v>
      </c>
      <c r="AE63" s="2378"/>
      <c r="AF63" s="2378"/>
      <c r="AG63" s="2378"/>
      <c r="AH63" s="2378"/>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62227582</v>
      </c>
      <c r="Z64" s="2379"/>
      <c r="AA64" s="2379"/>
      <c r="AB64" s="2379"/>
      <c r="AC64" s="2380"/>
      <c r="AD64" s="2339">
        <f>IF(AND(OR(Application!D211="At-Risk",Application!D211="At-Risk and Special Needs"),Application!M358="yes"),AD28+AI28,0)</f>
        <v>0</v>
      </c>
      <c r="AE64" s="2379"/>
      <c r="AF64" s="2379"/>
      <c r="AG64" s="2379"/>
      <c r="AH64" s="2380"/>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2">
        <f>IF(OR(Application!Z205="State Farmworker Credit",Application!Z205="$500M (Farmworker Housing)"),0.75,IF(Application!Z205="15% set-aside",0.13,IF(Application!Z205="15% set-aside with qualifying low value rehab",0.95,IF(Application!Z205="$500M",0.3,0))))</f>
        <v>0.3</v>
      </c>
      <c r="Z67" s="2392"/>
      <c r="AA67" s="2392"/>
      <c r="AB67" s="2392"/>
      <c r="AC67" s="2392"/>
      <c r="AD67" s="2392">
        <f>IF(Application!Z205="15% set-aside with qualifying low value rehab", 0.95,IF(OR(Application!D211="At-Risk",'Points System'!B13="Yes"),0.13,0))</f>
        <v>0</v>
      </c>
      <c r="AE67" s="2392"/>
      <c r="AF67" s="2392"/>
      <c r="AG67" s="2392"/>
      <c r="AH67" s="2392"/>
    </row>
    <row r="68" spans="1:36" ht="13" customHeight="1">
      <c r="C68" s="404"/>
      <c r="D68" s="205" t="s">
        <v>2224</v>
      </c>
      <c r="Y68" s="2338">
        <f>ROUND(Y64*Y67,0)</f>
        <v>18668275</v>
      </c>
      <c r="Z68" s="2393"/>
      <c r="AA68" s="2393"/>
      <c r="AB68" s="2393"/>
      <c r="AC68" s="2393"/>
      <c r="AD68" s="2338">
        <f>ROUND(AD64*AD67,0)</f>
        <v>0</v>
      </c>
      <c r="AE68" s="2393"/>
      <c r="AF68" s="2393"/>
      <c r="AG68" s="2393"/>
      <c r="AH68" s="2393"/>
    </row>
    <row r="69" spans="1:36" ht="13" customHeight="1">
      <c r="C69" s="404"/>
      <c r="D69" s="205" t="s">
        <v>2225</v>
      </c>
      <c r="Y69" s="2338">
        <f>IF(OR(Application!Z205="State Farmworker Credit",Application!Z205="$500M (Farmworker Housing)"),Y68+AD68,MIN(Y68+AD68,200000*(Application!G753+Application!O777)))</f>
        <v>18668275</v>
      </c>
      <c r="Z69" s="2338"/>
      <c r="AA69" s="2338"/>
      <c r="AB69" s="2338"/>
      <c r="AC69" s="2338"/>
      <c r="AD69" s="2338"/>
      <c r="AE69" s="2338"/>
      <c r="AF69" s="2338"/>
      <c r="AG69" s="2338"/>
      <c r="AH69" s="2338"/>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1250</v>
      </c>
      <c r="AB72" s="2381"/>
      <c r="AC72" s="2382"/>
      <c r="AD72" s="2382"/>
      <c r="AE72" s="2382"/>
      <c r="AF72" s="2383"/>
    </row>
    <row r="73" spans="1:36" ht="13" customHeight="1">
      <c r="A73" s="404"/>
      <c r="C73" s="404"/>
      <c r="D73" s="404"/>
      <c r="E73" s="2394" t="s">
        <v>1251</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6" ht="13"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6" ht="13"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7">
        <f>ROUND(IF(ISERROR((AB59/AB72)),0,(AB59/AB72)),0)</f>
        <v>0</v>
      </c>
      <c r="AC77" s="2387"/>
      <c r="AD77" s="2387"/>
      <c r="AE77" s="2387"/>
      <c r="AF77" s="2387"/>
    </row>
    <row r="78" spans="1:36" ht="13" customHeight="1">
      <c r="C78" s="404"/>
      <c r="D78" s="205" t="s">
        <v>1253</v>
      </c>
      <c r="AB78" s="2388">
        <f>ROUNDUP(MIN(Y69,AB77),0)</f>
        <v>0</v>
      </c>
      <c r="AC78" s="2389"/>
      <c r="AD78" s="2389"/>
      <c r="AE78" s="2389"/>
      <c r="AF78" s="2390"/>
    </row>
    <row r="79" spans="1:36" ht="13" customHeight="1">
      <c r="C79" s="404"/>
      <c r="D79" s="205" t="s">
        <v>1254</v>
      </c>
      <c r="AB79" s="2391">
        <f>AB78*AB72</f>
        <v>0</v>
      </c>
      <c r="AC79" s="2391"/>
      <c r="AD79" s="2391"/>
      <c r="AE79" s="2391"/>
      <c r="AF79" s="2391"/>
    </row>
    <row r="80" spans="1:36" ht="13" customHeight="1">
      <c r="C80" s="404"/>
      <c r="D80" s="404"/>
      <c r="AB80" s="425"/>
      <c r="AC80" s="425"/>
      <c r="AD80" s="425"/>
      <c r="AE80" s="425"/>
      <c r="AF80" s="425"/>
    </row>
    <row r="81" spans="1:78" ht="13" customHeight="1">
      <c r="D81" s="404" t="s">
        <v>754</v>
      </c>
      <c r="AB81" s="2377">
        <f>AB49-(AB57+AB79)</f>
        <v>0</v>
      </c>
      <c r="AC81" s="2377"/>
      <c r="AD81" s="2377"/>
      <c r="AE81" s="2377"/>
      <c r="AF81" s="2377"/>
    </row>
    <row r="82" spans="1:78" ht="13" customHeight="1">
      <c r="F82" s="522"/>
      <c r="J82" s="522" t="str">
        <f>IF(AB81&gt;0,"FUNDING GAP MUST NOT EXCEED ZERO","")</f>
        <v/>
      </c>
    </row>
    <row r="83" spans="1:78" ht="13" customHeight="1">
      <c r="D83" s="523"/>
    </row>
    <row r="84" spans="1:78" ht="13"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3" customHeight="1" thickTop="1"/>
    <row r="86" spans="1:78" ht="13" customHeight="1">
      <c r="A86" s="404"/>
      <c r="C86" s="205"/>
    </row>
    <row r="87" spans="1:78" ht="13" customHeight="1">
      <c r="D87" s="205"/>
      <c r="AB87" s="2343"/>
      <c r="AC87" s="2343"/>
      <c r="AD87" s="2343"/>
      <c r="AE87" s="2343"/>
      <c r="AF87" s="2343"/>
    </row>
    <row r="88" spans="1:78" ht="13"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7" workbookViewId="0">
      <selection activeCell="O128" sqref="O128"/>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25" t="s">
        <v>1300</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6" t="s">
        <v>1305</v>
      </c>
      <c r="AF7" s="2466"/>
      <c r="AG7" s="2466"/>
      <c r="AH7" s="2466"/>
      <c r="AI7" s="2466"/>
      <c r="AJ7" s="2466"/>
      <c r="AK7" s="246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9" t="s">
        <v>591</v>
      </c>
      <c r="C13" s="261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7"/>
      <c r="AH13" s="2627"/>
      <c r="AI13" s="2627"/>
      <c r="AJ13" s="26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9" t="s">
        <v>591</v>
      </c>
      <c r="C16" s="2619"/>
      <c r="D16" s="547"/>
      <c r="E16" s="2611" t="s">
        <v>1307</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0"/>
      <c r="AL16" s="540"/>
      <c r="AM16" s="540"/>
      <c r="AN16" s="535"/>
      <c r="AO16" s="550">
        <f>IF($B25="yes",20,0)</f>
        <v>0</v>
      </c>
      <c r="AP16" s="14"/>
    </row>
    <row r="17" spans="1:42" s="536" customFormat="1" ht="12.75" customHeight="1">
      <c r="A17" s="540"/>
      <c r="B17" s="540"/>
      <c r="C17" s="540"/>
      <c r="D17" s="551"/>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0"/>
      <c r="AL17" s="540"/>
      <c r="AM17" s="540"/>
      <c r="AN17" s="535"/>
      <c r="AO17" s="550">
        <f>IF($B28="yes",20,0)</f>
        <v>0</v>
      </c>
    </row>
    <row r="18" spans="1:42" s="536" customFormat="1" ht="12.75" customHeight="1">
      <c r="A18" s="540"/>
      <c r="B18" s="540"/>
      <c r="C18" s="540"/>
      <c r="D18" s="551"/>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9" t="s">
        <v>591</v>
      </c>
      <c r="C22" s="2619"/>
      <c r="D22" s="547"/>
      <c r="E22" s="2629" t="s">
        <v>1310</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0"/>
      <c r="AL22" s="540"/>
      <c r="AM22" s="540"/>
      <c r="AN22" s="535"/>
      <c r="AO22" s="550">
        <f>IF($B40="yes",14,0)</f>
        <v>0</v>
      </c>
    </row>
    <row r="23" spans="1:42" s="536" customFormat="1" ht="12.75" customHeight="1">
      <c r="A23" s="540"/>
      <c r="B23" s="540"/>
      <c r="C23" s="540"/>
      <c r="D23" s="550"/>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9" t="s">
        <v>591</v>
      </c>
      <c r="C25" s="2619"/>
      <c r="D25" s="547"/>
      <c r="E25" s="2546" t="s">
        <v>2033</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0"/>
      <c r="AL25" s="540"/>
      <c r="AM25" s="540"/>
      <c r="AN25" s="535"/>
      <c r="AO25" s="550">
        <f>IF($B45="yes",6,0)</f>
        <v>0</v>
      </c>
    </row>
    <row r="26" spans="1:42" s="536" customFormat="1" ht="12.75" customHeight="1">
      <c r="A26" s="540"/>
      <c r="B26" s="540"/>
      <c r="C26" s="540"/>
      <c r="D26" s="550"/>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9" t="s">
        <v>591</v>
      </c>
      <c r="C28" s="2619"/>
      <c r="D28" s="547"/>
      <c r="E28" s="2648" t="s">
        <v>2248</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9" t="s">
        <v>591</v>
      </c>
      <c r="C33" s="2619"/>
      <c r="D33" s="547"/>
      <c r="E33" s="2629" t="s">
        <v>2250</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50"/>
    </row>
    <row r="34" spans="1:41" s="536" customFormat="1" ht="12.75" customHeight="1">
      <c r="A34" s="540"/>
      <c r="B34" s="540"/>
      <c r="C34" s="540"/>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9" t="s">
        <v>591</v>
      </c>
      <c r="C36" s="2619"/>
      <c r="D36" s="547"/>
      <c r="E36" s="2546" t="s">
        <v>2251</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0"/>
      <c r="AL36" s="540"/>
      <c r="AM36" s="540"/>
      <c r="AN36" s="535"/>
    </row>
    <row r="37" spans="1:41" s="536" customFormat="1" ht="12.75" customHeight="1">
      <c r="A37" s="540"/>
      <c r="B37" s="540"/>
      <c r="C37" s="540"/>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0"/>
      <c r="AL37" s="540"/>
      <c r="AM37" s="540"/>
      <c r="AN37" s="535"/>
    </row>
    <row r="38" spans="1:41" s="536" customFormat="1" ht="12.75" customHeight="1">
      <c r="A38" s="540"/>
      <c r="B38" s="540"/>
      <c r="C38" s="540"/>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9" t="s">
        <v>591</v>
      </c>
      <c r="C40" s="2619"/>
      <c r="D40" s="547"/>
      <c r="E40" s="2546" t="s">
        <v>2249</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0"/>
      <c r="AL40" s="540"/>
      <c r="AM40" s="540"/>
      <c r="AN40" s="535"/>
    </row>
    <row r="41" spans="1:41" s="536" customFormat="1" ht="12.75" customHeight="1">
      <c r="A41" s="540"/>
      <c r="B41" s="540"/>
      <c r="C41" s="540"/>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9" t="s">
        <v>591</v>
      </c>
      <c r="C45" s="2619"/>
      <c r="D45" s="1142"/>
      <c r="E45" s="2546" t="s">
        <v>2008</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2"/>
      <c r="AL45" s="540"/>
      <c r="AM45" s="540"/>
      <c r="AN45" s="535"/>
    </row>
    <row r="46" spans="1:41" s="536" customFormat="1" ht="12.75" customHeight="1">
      <c r="A46" s="540"/>
      <c r="B46" s="540"/>
      <c r="C46" s="540"/>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0"/>
      <c r="AL46" s="540"/>
      <c r="AM46" s="540"/>
      <c r="AN46" s="535"/>
    </row>
    <row r="47" spans="1:41" s="536" customFormat="1" ht="12.75" customHeight="1">
      <c r="A47" s="540"/>
      <c r="D47" s="547"/>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9" t="s">
        <v>591</v>
      </c>
      <c r="C52" s="2619"/>
      <c r="D52" s="540"/>
      <c r="E52" s="2546" t="s">
        <v>2013</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0"/>
      <c r="AL52" s="540"/>
      <c r="AM52" s="540"/>
      <c r="AN52" s="535"/>
      <c r="AO52" s="559"/>
    </row>
    <row r="53" spans="1:50" s="536" customFormat="1" ht="12.75" customHeight="1">
      <c r="A53" s="540"/>
      <c r="D53" s="547"/>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0"/>
      <c r="AL53" s="540"/>
      <c r="AM53" s="540"/>
      <c r="AN53" s="535"/>
      <c r="AO53" s="559"/>
    </row>
    <row r="54" spans="1:50" s="536" customFormat="1" ht="12.75" customHeight="1">
      <c r="A54" s="540"/>
      <c r="D54" s="540"/>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9" t="s">
        <v>591</v>
      </c>
      <c r="C56" s="2619"/>
      <c r="D56" s="540"/>
      <c r="E56" s="2645" t="s">
        <v>2014</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9" t="s">
        <v>591</v>
      </c>
      <c r="C58" s="2619"/>
      <c r="D58" s="540"/>
      <c r="E58" s="2546" t="s">
        <v>2015</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0"/>
      <c r="AL58" s="540"/>
      <c r="AM58" s="540"/>
      <c r="AN58" s="535"/>
    </row>
    <row r="59" spans="1:50" s="536" customFormat="1" ht="12.75" customHeight="1">
      <c r="A59" s="540"/>
      <c r="B59" s="547"/>
      <c r="C59" s="547"/>
      <c r="D59" s="547"/>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2">
        <f>AO39</f>
        <v>0</v>
      </c>
      <c r="AL62" s="2593"/>
      <c r="AM62" s="259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6" t="s">
        <v>1314</v>
      </c>
      <c r="AF65" s="2466"/>
      <c r="AG65" s="2466"/>
      <c r="AH65" s="2466"/>
      <c r="AI65" s="2466"/>
      <c r="AJ65" s="2466"/>
      <c r="AK65" s="246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9" t="s">
        <v>591</v>
      </c>
      <c r="C68" s="2619"/>
      <c r="D68" s="547" t="s">
        <v>1315</v>
      </c>
      <c r="E68" s="2611" t="s">
        <v>2016</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3"/>
      <c r="AL68" s="540"/>
      <c r="AM68" s="540"/>
      <c r="AN68" s="535"/>
      <c r="AO68" s="550">
        <f>IF($B68="yes",10,0)</f>
        <v>0</v>
      </c>
    </row>
    <row r="69" spans="1:42" s="536" customFormat="1" ht="12.75" customHeight="1">
      <c r="A69" s="538"/>
      <c r="B69" s="540"/>
      <c r="C69" s="540"/>
      <c r="D69" s="551"/>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3"/>
      <c r="AL69" s="540"/>
      <c r="AM69" s="540"/>
      <c r="AN69" s="535"/>
      <c r="AO69" s="550">
        <f>IF($B74="yes",10,0)</f>
        <v>10</v>
      </c>
    </row>
    <row r="70" spans="1:42" s="536" customFormat="1" ht="12.75" customHeight="1">
      <c r="A70" s="538"/>
      <c r="B70" s="540"/>
      <c r="C70" s="540"/>
      <c r="D70" s="551"/>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3"/>
      <c r="AL70" s="540"/>
      <c r="AM70" s="540"/>
      <c r="AN70" s="535"/>
      <c r="AO70" s="550">
        <f>IF($B81="yes",10,0)</f>
        <v>10</v>
      </c>
    </row>
    <row r="71" spans="1:42" s="536" customFormat="1" ht="12.75" customHeight="1">
      <c r="A71" s="538"/>
      <c r="B71" s="540"/>
      <c r="C71" s="540"/>
      <c r="D71" s="551"/>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3"/>
      <c r="AL71" s="540"/>
      <c r="AM71" s="540"/>
      <c r="AN71" s="535"/>
      <c r="AO71" s="536">
        <f>IF(SUM(AO68:AO70)&gt;10,10,(SUM(AO68:AO70)))</f>
        <v>10</v>
      </c>
      <c r="AP71" s="574" t="s">
        <v>1316</v>
      </c>
    </row>
    <row r="72" spans="1:42" s="536" customFormat="1" ht="12.75" customHeight="1">
      <c r="A72" s="538"/>
      <c r="B72" s="540"/>
      <c r="C72" s="540"/>
      <c r="D72" s="551"/>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9" t="s">
        <v>545</v>
      </c>
      <c r="C74" s="2619"/>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4" t="s">
        <v>545</v>
      </c>
      <c r="F75" s="261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9" t="s">
        <v>591</v>
      </c>
      <c r="F76" s="2640"/>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9" t="s">
        <v>591</v>
      </c>
      <c r="F77" s="2640"/>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4" t="s">
        <v>591</v>
      </c>
      <c r="F79" s="2619"/>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9" t="s">
        <v>545</v>
      </c>
      <c r="C81" s="2619"/>
      <c r="D81" s="547" t="s">
        <v>1320</v>
      </c>
      <c r="E81" s="2546" t="s">
        <v>1740</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3"/>
      <c r="AL81" s="540"/>
      <c r="AM81" s="540"/>
      <c r="AN81" s="535"/>
    </row>
    <row r="82" spans="1:43" s="536" customFormat="1" ht="12.75" customHeight="1">
      <c r="A82" s="538"/>
      <c r="B82" s="540"/>
      <c r="C82" s="540"/>
      <c r="D82" s="550"/>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2">
        <f>IF(AK62&gt;0,0,AO71)</f>
        <v>10</v>
      </c>
      <c r="AL84" s="2593"/>
      <c r="AM84" s="259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6" t="s">
        <v>1305</v>
      </c>
      <c r="AF87" s="2466"/>
      <c r="AG87" s="2466"/>
      <c r="AH87" s="2466"/>
      <c r="AI87" s="2466"/>
      <c r="AJ87" s="2466"/>
      <c r="AK87" s="246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9" t="s">
        <v>591</v>
      </c>
      <c r="C90" s="2619"/>
      <c r="D90" s="547" t="s">
        <v>1315</v>
      </c>
      <c r="E90" s="2611" t="s">
        <v>1325</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3"/>
      <c r="AL90" s="540"/>
      <c r="AM90" s="540"/>
      <c r="AN90" s="535"/>
    </row>
    <row r="91" spans="1:43" s="536" customFormat="1" ht="12.75" customHeight="1">
      <c r="A91" s="538"/>
      <c r="B91" s="539"/>
      <c r="C91" s="539"/>
      <c r="D91" s="539"/>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7">
        <f>Application!AC753</f>
        <v>0.59696969696969693</v>
      </c>
      <c r="F93" s="2608"/>
      <c r="G93" s="2608"/>
      <c r="H93" s="260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8">
        <f>0.6-ROUNDUP(E93,2)</f>
        <v>0</v>
      </c>
      <c r="F94" s="2413"/>
      <c r="G94" s="2413"/>
      <c r="H94" s="241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3">
        <f>IF(E94*200&gt;20,20,E94*200)</f>
        <v>0</v>
      </c>
      <c r="F95" s="2624"/>
      <c r="G95" s="2624"/>
      <c r="H95" s="26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9" t="s">
        <v>545</v>
      </c>
      <c r="C98" s="2619"/>
      <c r="D98" s="547" t="s">
        <v>1317</v>
      </c>
      <c r="E98" s="2611" t="s">
        <v>1725</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3"/>
      <c r="AL98" s="540"/>
      <c r="AM98" s="540"/>
      <c r="AN98" s="535"/>
    </row>
    <row r="99" spans="1:47" s="536" customFormat="1" ht="12.75" customHeight="1">
      <c r="A99" s="538"/>
      <c r="B99" s="539"/>
      <c r="C99" s="539"/>
      <c r="D99" s="539"/>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3"/>
      <c r="AL99" s="540"/>
      <c r="AM99" s="540"/>
      <c r="AN99" s="535"/>
    </row>
    <row r="100" spans="1:47" s="536" customFormat="1" ht="12.75" customHeight="1">
      <c r="A100" s="538"/>
      <c r="B100" s="539"/>
      <c r="C100" s="539"/>
      <c r="D100" s="539"/>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3"/>
      <c r="AL100" s="540"/>
      <c r="AM100" s="540"/>
      <c r="AN100" s="535"/>
    </row>
    <row r="101" spans="1:47" s="536" customFormat="1" ht="12.75" customHeight="1">
      <c r="A101" s="538"/>
      <c r="B101" s="539"/>
      <c r="C101" s="539"/>
      <c r="D101" s="539"/>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7">
        <f>Application!AC753</f>
        <v>0.59696969696969693</v>
      </c>
      <c r="F103" s="2608"/>
      <c r="G103" s="2608"/>
      <c r="H103" s="260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7">
        <f ca="1">SUMIF(Application!AC718:AG752,0.2,Application!G718:J752)/Application!G753+SUMIF(Application!AC718:AG752,0.25,Application!G718:J752)/Application!G753+SUMIF(Application!AC718:AG752,0.3,Application!G718:J752)/Application!G753</f>
        <v>0.10101010101010101</v>
      </c>
      <c r="F104" s="2608"/>
      <c r="G104" s="2608"/>
      <c r="H104" s="260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7">
        <f ca="1">SUMIF(Application!AC718:AG752,0.35,Application!G718:J752)/Application!G753+SUMIF(Application!AC718:AG752,0.4,Application!G718:J752)/Application!G753+SUMIF(Application!AC718:AG752,0.45,Application!G718:J752)/Application!G753+SUMIF(Application!AC718:AG752,0.5,Application!G718:J752)/Application!G753</f>
        <v>0.10101010101010101</v>
      </c>
      <c r="F105" s="2608"/>
      <c r="G105" s="2608"/>
      <c r="H105" s="260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5">
        <f ca="1">IF(AND(E103&lt;=0.6,OR(AND(E104&gt;=0.1,E105&gt;=0.1),AND(E104&gt;0.1,(E104+E105)&gt;=0.2))),20,0)</f>
        <v>20</v>
      </c>
      <c r="F106" s="2606"/>
      <c r="G106" s="2606"/>
      <c r="H106" s="260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2">
        <f ca="1">MAX(AP95,AP106)</f>
        <v>20</v>
      </c>
      <c r="AL109" s="2593"/>
      <c r="AM109" s="259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6" t="s">
        <v>1314</v>
      </c>
      <c r="AF112" s="2466"/>
      <c r="AG112" s="2466"/>
      <c r="AH112" s="2466"/>
      <c r="AI112" s="2466"/>
      <c r="AJ112" s="2466"/>
      <c r="AK112" s="2466"/>
      <c r="AL112" s="540"/>
      <c r="AM112" s="540"/>
      <c r="AN112" s="535"/>
      <c r="AO112" s="536" t="str">
        <f>Application!B718</f>
        <v>1 Bedroom</v>
      </c>
      <c r="AQ112" s="536">
        <f>Application!O718</f>
        <v>930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1550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1860</v>
      </c>
    </row>
    <row r="115" spans="1:52" s="536" customFormat="1" ht="12.75" customHeight="1">
      <c r="A115" s="540"/>
      <c r="B115" s="2619" t="s">
        <v>545</v>
      </c>
      <c r="C115" s="2619"/>
      <c r="D115" s="547" t="s">
        <v>1315</v>
      </c>
      <c r="E115" s="2611" t="s">
        <v>1857</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0"/>
      <c r="AL115" s="540"/>
      <c r="AM115" s="540"/>
      <c r="AN115" s="535"/>
      <c r="AO115" s="536" t="str">
        <f>Application!B721</f>
        <v>1 Bedroom</v>
      </c>
      <c r="AQ115" s="536">
        <f>Application!O721</f>
        <v>2481</v>
      </c>
      <c r="AU115" s="536" t="s">
        <v>1840</v>
      </c>
      <c r="AV115" s="595" t="s">
        <v>1841</v>
      </c>
      <c r="AW115" s="536" t="s">
        <v>1842</v>
      </c>
    </row>
    <row r="116" spans="1:52" s="536" customFormat="1" ht="12.75" customHeight="1">
      <c r="A116" s="540"/>
      <c r="B116" s="539"/>
      <c r="C116" s="539"/>
      <c r="D116" s="539"/>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0"/>
      <c r="AL116" s="540"/>
      <c r="AM116" s="540"/>
      <c r="AN116" s="535"/>
      <c r="AO116" s="536" t="str">
        <f>Application!B722</f>
        <v>2 Bedrooms</v>
      </c>
      <c r="AQ116" s="536">
        <f>Application!O722</f>
        <v>1116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0"/>
      <c r="AL117" s="540"/>
      <c r="AM117" s="540"/>
      <c r="AN117" s="535"/>
      <c r="AO117" s="536" t="str">
        <f>Application!B723</f>
        <v>2 Bedrooms</v>
      </c>
      <c r="AQ117" s="536">
        <f>Application!O723</f>
        <v>1861</v>
      </c>
      <c r="AU117" s="856" t="str">
        <f>J124</f>
        <v>1-bedroom</v>
      </c>
      <c r="AV117" s="536">
        <f t="array" ref="AV117">SUM(IF(Application!B718:F752="1 Bedroom",Application!G718:J752))</f>
        <v>132</v>
      </c>
      <c r="AW117" s="1011">
        <f>AV117/AV122</f>
        <v>0.66666666666666663</v>
      </c>
    </row>
    <row r="118" spans="1:52" s="536" customFormat="1" ht="12.75" customHeight="1">
      <c r="A118" s="540"/>
      <c r="B118" s="539"/>
      <c r="C118" s="539"/>
      <c r="D118" s="539"/>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0"/>
      <c r="AL118" s="540"/>
      <c r="AM118" s="540"/>
      <c r="AN118" s="535"/>
      <c r="AO118" s="536" t="str">
        <f>Application!B724</f>
        <v>2 Bedrooms</v>
      </c>
      <c r="AQ118" s="536">
        <f>Application!O724</f>
        <v>2233</v>
      </c>
      <c r="AU118" s="856" t="str">
        <f>O124</f>
        <v>2-bedroom</v>
      </c>
      <c r="AV118" s="536">
        <f t="array" ref="AV118">SUM(IF(Application!B718:F752="2 Bedrooms",Application!G718:J752))</f>
        <v>66</v>
      </c>
      <c r="AW118" s="1011">
        <f>AV118/AV122</f>
        <v>0.33333333333333331</v>
      </c>
    </row>
    <row r="119" spans="1:52" s="536" customFormat="1" ht="12.75" customHeight="1">
      <c r="A119" s="540"/>
      <c r="B119" s="539"/>
      <c r="C119" s="539"/>
      <c r="D119" s="539"/>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0"/>
      <c r="AL119" s="540"/>
      <c r="AM119" s="540"/>
      <c r="AN119" s="535"/>
      <c r="AO119" s="536" t="str">
        <f>Application!B725</f>
        <v>2 Bedrooms</v>
      </c>
      <c r="AQ119" s="536">
        <f>Application!O725</f>
        <v>2978</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0"/>
      <c r="AL122" s="540"/>
      <c r="AM122" s="540"/>
      <c r="AN122" s="535"/>
      <c r="AO122" s="536">
        <f>Application!B728</f>
        <v>0</v>
      </c>
      <c r="AQ122" s="536">
        <f>Application!O728</f>
        <v>0</v>
      </c>
      <c r="AV122" s="536">
        <f>SUM(AV116:AV121)</f>
        <v>198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7" t="s">
        <v>1588</v>
      </c>
      <c r="F124" s="2608"/>
      <c r="G124" s="2608"/>
      <c r="H124" s="2608"/>
      <c r="I124" s="577"/>
      <c r="J124" s="2608" t="s">
        <v>1631</v>
      </c>
      <c r="K124" s="2608"/>
      <c r="L124" s="2608"/>
      <c r="M124" s="2608"/>
      <c r="N124" s="577"/>
      <c r="O124" s="2608" t="s">
        <v>1632</v>
      </c>
      <c r="P124" s="2608"/>
      <c r="Q124" s="2608"/>
      <c r="R124" s="2608"/>
      <c r="S124" s="577"/>
      <c r="T124" s="2608" t="s">
        <v>1334</v>
      </c>
      <c r="U124" s="2608"/>
      <c r="V124" s="2608"/>
      <c r="W124" s="2608"/>
      <c r="X124" s="577"/>
      <c r="Y124" s="2608" t="s">
        <v>1633</v>
      </c>
      <c r="Z124" s="2608"/>
      <c r="AA124" s="2608"/>
      <c r="AB124" s="2608"/>
      <c r="AC124" s="577"/>
      <c r="AD124" s="2608" t="s">
        <v>1634</v>
      </c>
      <c r="AE124" s="2608"/>
      <c r="AF124" s="2608"/>
      <c r="AG124" s="260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9"/>
      <c r="F127" s="2610"/>
      <c r="G127" s="2610"/>
      <c r="H127" s="2610"/>
      <c r="I127" s="864"/>
      <c r="J127" s="2610">
        <v>3216</v>
      </c>
      <c r="K127" s="2610"/>
      <c r="L127" s="2610"/>
      <c r="M127" s="2610"/>
      <c r="N127" s="864"/>
      <c r="O127" s="2610">
        <v>3770</v>
      </c>
      <c r="P127" s="2610"/>
      <c r="Q127" s="2610"/>
      <c r="R127" s="2610"/>
      <c r="S127" s="864"/>
      <c r="T127" s="2610"/>
      <c r="U127" s="2610"/>
      <c r="V127" s="2610"/>
      <c r="W127" s="2610"/>
      <c r="X127" s="864"/>
      <c r="Y127" s="2610"/>
      <c r="Z127" s="2610"/>
      <c r="AA127" s="2610"/>
      <c r="AB127" s="2610"/>
      <c r="AC127" s="864"/>
      <c r="AD127" s="2610"/>
      <c r="AE127" s="2610"/>
      <c r="AF127" s="2610"/>
      <c r="AG127" s="261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7">
        <f>Application!DX670</f>
        <v>0</v>
      </c>
      <c r="F130" s="2618"/>
      <c r="G130" s="2618"/>
      <c r="H130" s="2618"/>
      <c r="I130" s="864"/>
      <c r="J130" s="2618">
        <f>Application!EC670</f>
        <v>1860.1969696969697</v>
      </c>
      <c r="K130" s="2618"/>
      <c r="L130" s="2618"/>
      <c r="M130" s="2618"/>
      <c r="N130" s="864"/>
      <c r="O130" s="2618">
        <f>Application!EH670</f>
        <v>2199.2424242424245</v>
      </c>
      <c r="P130" s="2618"/>
      <c r="Q130" s="2618"/>
      <c r="R130" s="2618"/>
      <c r="S130" s="868"/>
      <c r="T130" s="2618">
        <f>Application!EM670</f>
        <v>0</v>
      </c>
      <c r="U130" s="2618"/>
      <c r="V130" s="2618"/>
      <c r="W130" s="2618"/>
      <c r="X130" s="868"/>
      <c r="Y130" s="2618">
        <f>Application!ER670</f>
        <v>0</v>
      </c>
      <c r="Z130" s="2618"/>
      <c r="AA130" s="2618"/>
      <c r="AB130" s="2618"/>
      <c r="AC130" s="868"/>
      <c r="AD130" s="2618">
        <f>Application!EW670</f>
        <v>0</v>
      </c>
      <c r="AE130" s="2618"/>
      <c r="AF130" s="2618"/>
      <c r="AG130" s="261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2" t="e">
        <f>(E127-E130)/E127</f>
        <v>#DIV/0!</v>
      </c>
      <c r="F133" s="2413"/>
      <c r="G133" s="2413"/>
      <c r="H133" s="2414"/>
      <c r="I133" s="577"/>
      <c r="J133" s="2412">
        <f>(J127-J130)/J127</f>
        <v>0.4215805442484547</v>
      </c>
      <c r="K133" s="2413"/>
      <c r="L133" s="2413"/>
      <c r="M133" s="2414"/>
      <c r="N133" s="577"/>
      <c r="O133" s="2412">
        <f>(O127-O130)/O127</f>
        <v>0.41664657181898557</v>
      </c>
      <c r="P133" s="2413"/>
      <c r="Q133" s="2413"/>
      <c r="R133" s="2414"/>
      <c r="S133" s="577"/>
      <c r="T133" s="2412" t="e">
        <f>(T127-T130)/T127</f>
        <v>#DIV/0!</v>
      </c>
      <c r="U133" s="2413"/>
      <c r="V133" s="2413"/>
      <c r="W133" s="2414"/>
      <c r="X133" s="577"/>
      <c r="Y133" s="2412" t="e">
        <f>(Y127-Y130)/Y127</f>
        <v>#DIV/0!</v>
      </c>
      <c r="Z133" s="2413"/>
      <c r="AA133" s="2413"/>
      <c r="AB133" s="2414"/>
      <c r="AC133" s="577"/>
      <c r="AD133" s="2412" t="e">
        <f>(AD127-AD130)/AD127</f>
        <v>#DIV/0!</v>
      </c>
      <c r="AE133" s="2413"/>
      <c r="AF133" s="2413"/>
      <c r="AG133" s="241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0" t="e">
        <f>IF(((E133-0.1)*AW116)&gt;0,((E133-0.1)*AW116),0)</f>
        <v>#DIV/0!</v>
      </c>
      <c r="F136" s="2621"/>
      <c r="G136" s="2621"/>
      <c r="H136" s="2622"/>
      <c r="I136" s="577"/>
      <c r="J136" s="2620">
        <f>IF(((J133-0.1)*AW117)&gt;0,((J133-0.1)*AW117),0)</f>
        <v>0.21438702949896982</v>
      </c>
      <c r="K136" s="2621"/>
      <c r="L136" s="2621"/>
      <c r="M136" s="2622"/>
      <c r="N136" s="577"/>
      <c r="O136" s="2620">
        <f>IF(((O133-0.1)*AW118)&gt;0,((O133-0.1)*AW118),0)</f>
        <v>0.10554885727299519</v>
      </c>
      <c r="P136" s="2621"/>
      <c r="Q136" s="2621"/>
      <c r="R136" s="2622"/>
      <c r="S136" s="577"/>
      <c r="T136" s="2620" t="e">
        <f>IF(((T133-0.1)*AW119)&gt;0,((T133-0.1)*AW119),0)</f>
        <v>#DIV/0!</v>
      </c>
      <c r="U136" s="2621"/>
      <c r="V136" s="2621"/>
      <c r="W136" s="2622"/>
      <c r="X136" s="577"/>
      <c r="Y136" s="2620" t="e">
        <f>IF(((Y133-0.1)*AW120)&gt;0,((Y133-0.1)*AW120),0)</f>
        <v>#DIV/0!</v>
      </c>
      <c r="Z136" s="2621"/>
      <c r="AA136" s="2621"/>
      <c r="AB136" s="2622"/>
      <c r="AC136" s="577"/>
      <c r="AD136" s="2620" t="e">
        <f>IF(((AD133-0.1)*AW121)&gt;0,((AD133-0.1)*AW121),0)</f>
        <v>#DIV/0!</v>
      </c>
      <c r="AE136" s="2621"/>
      <c r="AF136" s="2621"/>
      <c r="AG136" s="262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2">
        <f>ROUNDDOWN(SUMIF(E136:AG136,"&gt;0"),2)</f>
        <v>0.31</v>
      </c>
      <c r="F138" s="2413"/>
      <c r="G138" s="2413"/>
      <c r="H138" s="241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2">
        <f>IF((E138*100)&gt;10,10,E138*100)</f>
        <v>10</v>
      </c>
      <c r="F139" s="2593"/>
      <c r="G139" s="2593"/>
      <c r="H139" s="259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2">
        <f>E139</f>
        <v>10</v>
      </c>
      <c r="AL143" s="2593"/>
      <c r="AM143" s="259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6" t="s">
        <v>1314</v>
      </c>
      <c r="AF146" s="2466"/>
      <c r="AG146" s="2466"/>
      <c r="AH146" s="2466"/>
      <c r="AI146" s="2466"/>
      <c r="AJ146" s="2466"/>
      <c r="AK146" s="2466"/>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6" t="s">
        <v>1338</v>
      </c>
      <c r="AG148" s="2526"/>
      <c r="AH148" s="2526"/>
      <c r="AI148" s="2526"/>
      <c r="AJ148" s="2526"/>
      <c r="AK148" s="2526"/>
      <c r="AL148" s="252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6" t="s">
        <v>2669</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7" t="s">
        <v>1341</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8" t="s">
        <v>591</v>
      </c>
      <c r="AC155" s="239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7" t="s">
        <v>1343</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5" t="s">
        <v>2475</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80"/>
      <c r="AM161" s="539"/>
      <c r="AN161" s="535"/>
      <c r="AO161" s="476"/>
      <c r="AP161" s="489"/>
    </row>
    <row r="162" spans="1:42" s="536"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80"/>
      <c r="AM162" s="539"/>
      <c r="AN162" s="535"/>
      <c r="AO162" s="476"/>
      <c r="AP162" s="489"/>
    </row>
    <row r="163" spans="1:42" s="536" customFormat="1" ht="12.75" customHeight="1">
      <c r="C163" s="2396" t="s">
        <v>2476</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80"/>
      <c r="AM163" s="539"/>
      <c r="AN163" s="535"/>
      <c r="AO163" s="476"/>
      <c r="AP163" s="489"/>
    </row>
    <row r="164" spans="1:42" s="536" customFormat="1" ht="12.75" customHeight="1">
      <c r="B164" s="1180"/>
      <c r="C164" s="2397" t="s">
        <v>2474</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70"/>
      <c r="AB164" s="1170"/>
      <c r="AC164" s="1170"/>
      <c r="AD164" s="1170"/>
      <c r="AE164" s="1170"/>
      <c r="AF164" s="1170"/>
      <c r="AG164" s="1170"/>
      <c r="AH164" s="1170"/>
      <c r="AJ164" s="2398" t="s">
        <v>591</v>
      </c>
      <c r="AK164" s="239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6" t="s">
        <v>1352</v>
      </c>
      <c r="AG168" s="2526"/>
      <c r="AH168" s="2526"/>
      <c r="AI168" s="2526"/>
      <c r="AJ168" s="2526"/>
      <c r="AK168" s="2526"/>
      <c r="AL168" s="2526"/>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7" t="s">
        <v>1350</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8" t="s">
        <v>591</v>
      </c>
      <c r="AG172" s="239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7" t="s">
        <v>1343</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8" t="str">
        <f>Application!AA335</f>
        <v>FPI Management Corporation</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2">
        <f>$AJ$166+$AJ$180</f>
        <v>10</v>
      </c>
      <c r="AL183" s="2593"/>
      <c r="AM183" s="259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6" t="s">
        <v>1314</v>
      </c>
      <c r="AF186" s="2466"/>
      <c r="AG186" s="2466"/>
      <c r="AH186" s="2466"/>
      <c r="AI186" s="2466"/>
      <c r="AJ186" s="2466"/>
      <c r="AK186" s="246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5" t="s">
        <v>1367</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6"/>
      <c r="AE188" s="536"/>
      <c r="AF188" s="2526" t="s">
        <v>1363</v>
      </c>
      <c r="AG188" s="2526"/>
      <c r="AH188" s="2526"/>
      <c r="AI188" s="2526"/>
      <c r="AJ188" s="2526"/>
      <c r="AK188" s="2526"/>
      <c r="AL188" s="2526"/>
      <c r="AN188" s="597"/>
      <c r="AP188" s="550" t="s">
        <v>1043</v>
      </c>
      <c r="AQ188" s="550">
        <v>10</v>
      </c>
    </row>
    <row r="189" spans="1:73" s="550" customFormat="1" ht="12.75" customHeight="1">
      <c r="A189" s="536"/>
      <c r="B189" s="2397" t="s">
        <v>1726</v>
      </c>
      <c r="C189" s="2397"/>
      <c r="D189" s="2397"/>
      <c r="E189" s="2397"/>
      <c r="F189" s="2397"/>
      <c r="G189" s="2397"/>
      <c r="H189" s="2397"/>
      <c r="I189" s="2397"/>
      <c r="J189" s="2397"/>
      <c r="K189" s="2397"/>
      <c r="L189" s="2397"/>
      <c r="M189" s="2397"/>
      <c r="N189" s="2397"/>
      <c r="O189" s="2397"/>
      <c r="P189" s="2397"/>
      <c r="Q189" s="2397"/>
      <c r="R189" s="2397"/>
      <c r="S189" s="2397"/>
      <c r="T189" s="2596" t="s">
        <v>591</v>
      </c>
      <c r="U189" s="2596"/>
      <c r="V189" s="2596"/>
      <c r="W189" s="2596"/>
      <c r="X189" s="2596"/>
      <c r="Y189" s="2596"/>
      <c r="Z189" s="2596"/>
      <c r="AA189" s="2596"/>
      <c r="AB189" s="2596"/>
      <c r="AC189" s="2596"/>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3">
        <f>IF(AK84&gt;0,VLOOKUP($B$188,AP185:AQ191,2,FALSE),0)</f>
        <v>10</v>
      </c>
      <c r="AL191" s="2434"/>
      <c r="AM191" s="243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6" t="s">
        <v>1372</v>
      </c>
      <c r="AF194" s="2466"/>
      <c r="AG194" s="2466"/>
      <c r="AH194" s="2466"/>
      <c r="AI194" s="2466"/>
      <c r="AJ194" s="2466"/>
      <c r="AK194" s="2466"/>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9" t="s">
        <v>2670</v>
      </c>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6"/>
      <c r="AD199" s="2579">
        <v>7300000</v>
      </c>
      <c r="AE199" s="2579"/>
      <c r="AF199" s="2579"/>
      <c r="AG199" s="2579"/>
      <c r="AH199" s="2579"/>
      <c r="AI199" s="2579"/>
      <c r="AJ199" s="2579"/>
      <c r="AK199" s="610"/>
    </row>
    <row r="200" spans="1:40">
      <c r="A200" s="605"/>
      <c r="B200" s="2589"/>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6"/>
      <c r="AD200" s="2579"/>
      <c r="AE200" s="2579"/>
      <c r="AF200" s="2579"/>
      <c r="AG200" s="2579"/>
      <c r="AH200" s="2579"/>
      <c r="AI200" s="2579"/>
      <c r="AJ200" s="2579"/>
      <c r="AK200" s="610"/>
    </row>
    <row r="201" spans="1:40">
      <c r="A201" s="605"/>
      <c r="B201" s="2589"/>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6"/>
      <c r="AD201" s="2579"/>
      <c r="AE201" s="2579"/>
      <c r="AF201" s="2579"/>
      <c r="AG201" s="2579"/>
      <c r="AH201" s="2579"/>
      <c r="AI201" s="2579"/>
      <c r="AJ201" s="2579"/>
      <c r="AK201" s="610"/>
    </row>
    <row r="202" spans="1:40">
      <c r="A202" s="605"/>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6"/>
      <c r="AD202" s="2579"/>
      <c r="AE202" s="2579"/>
      <c r="AF202" s="2579"/>
      <c r="AG202" s="2579"/>
      <c r="AH202" s="2579"/>
      <c r="AI202" s="2579"/>
      <c r="AJ202" s="2579"/>
      <c r="AK202" s="610"/>
    </row>
    <row r="203" spans="1:40">
      <c r="A203" s="605"/>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6"/>
      <c r="AD203" s="2579"/>
      <c r="AE203" s="2579"/>
      <c r="AF203" s="2579"/>
      <c r="AG203" s="2579"/>
      <c r="AH203" s="2579"/>
      <c r="AI203" s="2579"/>
      <c r="AJ203" s="2579"/>
      <c r="AK203" s="610"/>
    </row>
    <row r="204" spans="1:40">
      <c r="A204" s="605"/>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6"/>
      <c r="AD204" s="2579"/>
      <c r="AE204" s="2579"/>
      <c r="AF204" s="2579"/>
      <c r="AG204" s="2579"/>
      <c r="AH204" s="2579"/>
      <c r="AI204" s="2579"/>
      <c r="AJ204" s="2579"/>
      <c r="AK204" s="610"/>
    </row>
    <row r="205" spans="1:40">
      <c r="A205" s="605"/>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6"/>
      <c r="AD205" s="2579"/>
      <c r="AE205" s="2579"/>
      <c r="AF205" s="2579"/>
      <c r="AG205" s="2579"/>
      <c r="AH205" s="2579"/>
      <c r="AI205" s="2579"/>
      <c r="AJ205" s="2579"/>
      <c r="AK205" s="610"/>
    </row>
    <row r="206" spans="1:40">
      <c r="A206" s="605"/>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6"/>
      <c r="AD206" s="2579"/>
      <c r="AE206" s="2579"/>
      <c r="AF206" s="2579"/>
      <c r="AG206" s="2579"/>
      <c r="AH206" s="2579"/>
      <c r="AI206" s="2579"/>
      <c r="AJ206" s="2579"/>
      <c r="AK206" s="610"/>
    </row>
    <row r="207" spans="1:40">
      <c r="A207" s="605"/>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6"/>
      <c r="AD207" s="2579"/>
      <c r="AE207" s="2579"/>
      <c r="AF207" s="2579"/>
      <c r="AG207" s="2579"/>
      <c r="AH207" s="2579"/>
      <c r="AI207" s="2579"/>
      <c r="AJ207" s="2579"/>
      <c r="AK207" s="610"/>
    </row>
    <row r="208" spans="1:40">
      <c r="A208" s="605"/>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6"/>
      <c r="AD208" s="2579"/>
      <c r="AE208" s="2579"/>
      <c r="AF208" s="2579"/>
      <c r="AG208" s="2579"/>
      <c r="AH208" s="2579"/>
      <c r="AI208" s="2579"/>
      <c r="AJ208" s="2579"/>
      <c r="AK208" s="610"/>
    </row>
    <row r="209" spans="1:37">
      <c r="A209" s="605"/>
      <c r="B209" s="2604" t="s">
        <v>1627</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6"/>
      <c r="AD209" s="2577">
        <f>AB260</f>
        <v>0</v>
      </c>
      <c r="AE209" s="2577"/>
      <c r="AF209" s="2577"/>
      <c r="AG209" s="2577"/>
      <c r="AH209" s="2577"/>
      <c r="AI209" s="2577"/>
      <c r="AJ209" s="2577"/>
      <c r="AK209" s="610"/>
    </row>
    <row r="210" spans="1:37">
      <c r="A210" s="605"/>
      <c r="B210" s="2451" t="s">
        <v>1590</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6"/>
      <c r="AD210" s="2578">
        <f>'Sources and Uses Budget'!B15</f>
        <v>0</v>
      </c>
      <c r="AE210" s="2578"/>
      <c r="AF210" s="2578"/>
      <c r="AG210" s="2578"/>
      <c r="AH210" s="2578"/>
      <c r="AI210" s="2578"/>
      <c r="AJ210" s="257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3">
        <f>SUM(AD199:AJ209)-AD210</f>
        <v>7300000</v>
      </c>
      <c r="AE211" s="2583"/>
      <c r="AF211" s="2583"/>
      <c r="AG211" s="2583"/>
      <c r="AH211" s="2583"/>
      <c r="AI211" s="2583"/>
      <c r="AJ211" s="25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2" t="s">
        <v>1607</v>
      </c>
      <c r="J222" s="2602"/>
      <c r="K222" s="2602"/>
      <c r="L222" s="536"/>
      <c r="M222" s="536"/>
      <c r="N222" s="536"/>
      <c r="O222" s="536"/>
      <c r="P222" s="536"/>
      <c r="Q222" s="536"/>
      <c r="R222" s="536"/>
      <c r="S222" s="536"/>
      <c r="T222" s="2417" t="s">
        <v>1601</v>
      </c>
      <c r="U222" s="2417"/>
      <c r="V222" s="2417"/>
      <c r="W222" s="2417"/>
      <c r="X222" s="2417"/>
      <c r="Y222" s="2417"/>
      <c r="Z222" s="849"/>
      <c r="AA222" s="489"/>
      <c r="AB222" s="2599" t="s">
        <v>1602</v>
      </c>
      <c r="AC222" s="2599"/>
      <c r="AD222" s="2599"/>
      <c r="AE222" s="2599"/>
      <c r="AF222" s="2599"/>
      <c r="AG222" s="2599"/>
      <c r="AH222" s="827"/>
      <c r="AI222" s="827"/>
      <c r="AJ222" s="827"/>
      <c r="AK222" s="610"/>
    </row>
    <row r="223" spans="1:37">
      <c r="A223" s="605"/>
      <c r="B223" s="2600" t="s">
        <v>1587</v>
      </c>
      <c r="C223" s="2600"/>
      <c r="D223" s="2600"/>
      <c r="E223" s="2600"/>
      <c r="F223" s="2600"/>
      <c r="G223" s="2600"/>
      <c r="I223" s="2601" t="s">
        <v>1608</v>
      </c>
      <c r="J223" s="2601"/>
      <c r="K223" s="2601"/>
      <c r="L223" s="1008"/>
      <c r="N223" s="2452" t="s">
        <v>1603</v>
      </c>
      <c r="O223" s="2452"/>
      <c r="P223" s="2452"/>
      <c r="Q223" s="2452"/>
      <c r="R223" s="2452"/>
      <c r="T223" s="2452" t="s">
        <v>1604</v>
      </c>
      <c r="U223" s="2452"/>
      <c r="V223" s="2452"/>
      <c r="W223" s="2452"/>
      <c r="X223" s="2452"/>
      <c r="Y223" s="2452"/>
      <c r="Z223" s="850"/>
      <c r="AA223" s="489"/>
      <c r="AB223" s="2467" t="s">
        <v>1605</v>
      </c>
      <c r="AC223" s="2467"/>
      <c r="AD223" s="2467"/>
      <c r="AE223" s="2467"/>
      <c r="AF223" s="2467"/>
      <c r="AG223" s="2467"/>
      <c r="AH223" s="827"/>
      <c r="AI223" s="827"/>
      <c r="AJ223" s="827"/>
      <c r="AK223" s="610"/>
    </row>
    <row r="224" spans="1:37">
      <c r="A224" s="605"/>
      <c r="B224" s="2468" t="s">
        <v>1184</v>
      </c>
      <c r="C224" s="2468"/>
      <c r="D224" s="2468"/>
      <c r="E224" s="2468"/>
      <c r="F224" s="2468"/>
      <c r="G224" s="2468"/>
      <c r="H224" s="852"/>
      <c r="I224" s="2421"/>
      <c r="J224" s="2421"/>
      <c r="K224" s="2421"/>
      <c r="L224" s="1008"/>
      <c r="N224" s="2419"/>
      <c r="O224" s="2419"/>
      <c r="P224" s="2419"/>
      <c r="Q224" s="2419"/>
      <c r="R224" s="2419"/>
      <c r="T224" s="2418"/>
      <c r="U224" s="2418"/>
      <c r="V224" s="2418"/>
      <c r="W224" s="2418"/>
      <c r="X224" s="2418"/>
      <c r="Y224" s="2418"/>
      <c r="Z224" s="851"/>
      <c r="AA224" s="851"/>
      <c r="AB224" s="2416">
        <f t="shared" ref="AB224:AB233" si="0">MAX(($T224-$N224)*$I224*12,0)</f>
        <v>0</v>
      </c>
      <c r="AC224" s="2416"/>
      <c r="AD224" s="2416"/>
      <c r="AE224" s="2416"/>
      <c r="AF224" s="2416"/>
      <c r="AG224" s="2416"/>
      <c r="AH224" s="827"/>
      <c r="AI224" s="827"/>
      <c r="AJ224" s="827"/>
      <c r="AK224" s="610"/>
    </row>
    <row r="225" spans="1:37">
      <c r="A225" s="605"/>
      <c r="B225" s="2468" t="s">
        <v>1184</v>
      </c>
      <c r="C225" s="2468"/>
      <c r="D225" s="2468"/>
      <c r="E225" s="2468"/>
      <c r="F225" s="2468"/>
      <c r="G225" s="2468"/>
      <c r="I225" s="2421"/>
      <c r="J225" s="2421"/>
      <c r="K225" s="2421"/>
      <c r="L225" s="1008"/>
      <c r="N225" s="2419"/>
      <c r="O225" s="2419"/>
      <c r="P225" s="2419"/>
      <c r="Q225" s="2419"/>
      <c r="R225" s="2419"/>
      <c r="T225" s="2418"/>
      <c r="U225" s="2418"/>
      <c r="V225" s="2418"/>
      <c r="W225" s="2418"/>
      <c r="X225" s="2418"/>
      <c r="Y225" s="2418"/>
      <c r="Z225" s="851"/>
      <c r="AA225" s="851"/>
      <c r="AB225" s="2416">
        <f t="shared" si="0"/>
        <v>0</v>
      </c>
      <c r="AC225" s="2416"/>
      <c r="AD225" s="2416"/>
      <c r="AE225" s="2416"/>
      <c r="AF225" s="2416"/>
      <c r="AG225" s="2416"/>
      <c r="AH225" s="827"/>
      <c r="AI225" s="827"/>
      <c r="AJ225" s="827"/>
      <c r="AK225" s="610"/>
    </row>
    <row r="226" spans="1:37">
      <c r="A226" s="605"/>
      <c r="B226" s="2468" t="s">
        <v>1184</v>
      </c>
      <c r="C226" s="2468"/>
      <c r="D226" s="2468"/>
      <c r="E226" s="2468"/>
      <c r="F226" s="2468"/>
      <c r="G226" s="2468"/>
      <c r="I226" s="2421"/>
      <c r="J226" s="2421"/>
      <c r="K226" s="2421"/>
      <c r="L226" s="1008"/>
      <c r="N226" s="2419"/>
      <c r="O226" s="2419"/>
      <c r="P226" s="2419"/>
      <c r="Q226" s="2419"/>
      <c r="R226" s="2419"/>
      <c r="T226" s="2418"/>
      <c r="U226" s="2418"/>
      <c r="V226" s="2418"/>
      <c r="W226" s="2418"/>
      <c r="X226" s="2418"/>
      <c r="Y226" s="2418"/>
      <c r="Z226" s="851"/>
      <c r="AA226" s="851"/>
      <c r="AB226" s="2416">
        <f t="shared" si="0"/>
        <v>0</v>
      </c>
      <c r="AC226" s="2416"/>
      <c r="AD226" s="2416"/>
      <c r="AE226" s="2416"/>
      <c r="AF226" s="2416"/>
      <c r="AG226" s="2416"/>
      <c r="AH226" s="827"/>
      <c r="AI226" s="827"/>
      <c r="AJ226" s="827"/>
      <c r="AK226" s="610"/>
    </row>
    <row r="227" spans="1:37">
      <c r="A227" s="605"/>
      <c r="B227" s="2468" t="s">
        <v>1184</v>
      </c>
      <c r="C227" s="2468"/>
      <c r="D227" s="2468"/>
      <c r="E227" s="2468"/>
      <c r="F227" s="2468"/>
      <c r="G227" s="2468"/>
      <c r="I227" s="2421"/>
      <c r="J227" s="2421"/>
      <c r="K227" s="2421"/>
      <c r="L227" s="1008"/>
      <c r="N227" s="2419"/>
      <c r="O227" s="2419"/>
      <c r="P227" s="2419"/>
      <c r="Q227" s="2419"/>
      <c r="R227" s="2419"/>
      <c r="T227" s="2418"/>
      <c r="U227" s="2418"/>
      <c r="V227" s="2418"/>
      <c r="W227" s="2418"/>
      <c r="X227" s="2418"/>
      <c r="Y227" s="2418"/>
      <c r="Z227" s="851"/>
      <c r="AA227" s="851"/>
      <c r="AB227" s="2416">
        <f t="shared" si="0"/>
        <v>0</v>
      </c>
      <c r="AC227" s="2416"/>
      <c r="AD227" s="2416"/>
      <c r="AE227" s="2416"/>
      <c r="AF227" s="2416"/>
      <c r="AG227" s="2416"/>
      <c r="AH227" s="827"/>
      <c r="AI227" s="827"/>
      <c r="AJ227" s="827"/>
      <c r="AK227" s="610"/>
    </row>
    <row r="228" spans="1:37">
      <c r="A228" s="605"/>
      <c r="B228" s="2468" t="s">
        <v>1184</v>
      </c>
      <c r="C228" s="2468"/>
      <c r="D228" s="2468"/>
      <c r="E228" s="2468"/>
      <c r="F228" s="2468"/>
      <c r="G228" s="2468"/>
      <c r="I228" s="2421"/>
      <c r="J228" s="2421"/>
      <c r="K228" s="2421"/>
      <c r="L228" s="1015"/>
      <c r="N228" s="2419"/>
      <c r="O228" s="2419"/>
      <c r="P228" s="2419"/>
      <c r="Q228" s="2419"/>
      <c r="R228" s="2419"/>
      <c r="T228" s="2418"/>
      <c r="U228" s="2418"/>
      <c r="V228" s="2418"/>
      <c r="W228" s="2418"/>
      <c r="X228" s="2418"/>
      <c r="Y228" s="2418"/>
      <c r="Z228" s="851"/>
      <c r="AA228" s="851"/>
      <c r="AB228" s="2416">
        <f t="shared" si="0"/>
        <v>0</v>
      </c>
      <c r="AC228" s="2416"/>
      <c r="AD228" s="2416"/>
      <c r="AE228" s="2416"/>
      <c r="AF228" s="2416"/>
      <c r="AG228" s="2416"/>
      <c r="AH228" s="827"/>
      <c r="AI228" s="827"/>
      <c r="AJ228" s="827"/>
      <c r="AK228" s="610"/>
    </row>
    <row r="229" spans="1:37">
      <c r="A229" s="605"/>
      <c r="B229" s="2468" t="s">
        <v>1184</v>
      </c>
      <c r="C229" s="2468"/>
      <c r="D229" s="2468"/>
      <c r="E229" s="2468"/>
      <c r="F229" s="2468"/>
      <c r="G229" s="2468"/>
      <c r="I229" s="2421"/>
      <c r="J229" s="2421"/>
      <c r="K229" s="2421"/>
      <c r="L229" s="1015"/>
      <c r="N229" s="2419"/>
      <c r="O229" s="2419"/>
      <c r="P229" s="2419"/>
      <c r="Q229" s="2419"/>
      <c r="R229" s="2419"/>
      <c r="T229" s="2418"/>
      <c r="U229" s="2418"/>
      <c r="V229" s="2418"/>
      <c r="W229" s="2418"/>
      <c r="X229" s="2418"/>
      <c r="Y229" s="2418"/>
      <c r="Z229" s="851"/>
      <c r="AA229" s="851"/>
      <c r="AB229" s="2416">
        <f t="shared" si="0"/>
        <v>0</v>
      </c>
      <c r="AC229" s="2416"/>
      <c r="AD229" s="2416"/>
      <c r="AE229" s="2416"/>
      <c r="AF229" s="2416"/>
      <c r="AG229" s="2416"/>
      <c r="AH229" s="827"/>
      <c r="AI229" s="827"/>
      <c r="AJ229" s="827"/>
      <c r="AK229" s="610"/>
    </row>
    <row r="230" spans="1:37">
      <c r="A230" s="605"/>
      <c r="B230" s="2468" t="s">
        <v>1184</v>
      </c>
      <c r="C230" s="2468"/>
      <c r="D230" s="2468"/>
      <c r="E230" s="2468"/>
      <c r="F230" s="2468"/>
      <c r="G230" s="2468"/>
      <c r="I230" s="2421"/>
      <c r="J230" s="2421"/>
      <c r="K230" s="2421"/>
      <c r="L230" s="1015"/>
      <c r="N230" s="2419"/>
      <c r="O230" s="2419"/>
      <c r="P230" s="2419"/>
      <c r="Q230" s="2419"/>
      <c r="R230" s="2419"/>
      <c r="T230" s="2418"/>
      <c r="U230" s="2418"/>
      <c r="V230" s="2418"/>
      <c r="W230" s="2418"/>
      <c r="X230" s="2418"/>
      <c r="Y230" s="2418"/>
      <c r="Z230" s="851"/>
      <c r="AA230" s="851"/>
      <c r="AB230" s="2416">
        <f t="shared" si="0"/>
        <v>0</v>
      </c>
      <c r="AC230" s="2416"/>
      <c r="AD230" s="2416"/>
      <c r="AE230" s="2416"/>
      <c r="AF230" s="2416"/>
      <c r="AG230" s="2416"/>
      <c r="AH230" s="827"/>
      <c r="AI230" s="827"/>
      <c r="AJ230" s="827"/>
      <c r="AK230" s="610"/>
    </row>
    <row r="231" spans="1:37">
      <c r="A231" s="605"/>
      <c r="B231" s="2468" t="s">
        <v>1184</v>
      </c>
      <c r="C231" s="2468"/>
      <c r="D231" s="2468"/>
      <c r="E231" s="2468"/>
      <c r="F231" s="2468"/>
      <c r="G231" s="2468"/>
      <c r="I231" s="2421"/>
      <c r="J231" s="2421"/>
      <c r="K231" s="2421"/>
      <c r="L231" s="1015"/>
      <c r="N231" s="2419"/>
      <c r="O231" s="2419"/>
      <c r="P231" s="2419"/>
      <c r="Q231" s="2419"/>
      <c r="R231" s="2419"/>
      <c r="T231" s="2418"/>
      <c r="U231" s="2418"/>
      <c r="V231" s="2418"/>
      <c r="W231" s="2418"/>
      <c r="X231" s="2418"/>
      <c r="Y231" s="2418"/>
      <c r="Z231" s="851"/>
      <c r="AA231" s="851"/>
      <c r="AB231" s="2416">
        <f t="shared" si="0"/>
        <v>0</v>
      </c>
      <c r="AC231" s="2416"/>
      <c r="AD231" s="2416"/>
      <c r="AE231" s="2416"/>
      <c r="AF231" s="2416"/>
      <c r="AG231" s="2416"/>
      <c r="AH231" s="827"/>
      <c r="AI231" s="827"/>
      <c r="AJ231" s="827"/>
      <c r="AK231" s="610"/>
    </row>
    <row r="232" spans="1:37">
      <c r="A232" s="605"/>
      <c r="B232" s="2468" t="s">
        <v>1184</v>
      </c>
      <c r="C232" s="2468"/>
      <c r="D232" s="2468"/>
      <c r="E232" s="2468"/>
      <c r="F232" s="2468"/>
      <c r="G232" s="2468"/>
      <c r="I232" s="2421"/>
      <c r="J232" s="2421"/>
      <c r="K232" s="2421"/>
      <c r="L232" s="1015"/>
      <c r="N232" s="2419"/>
      <c r="O232" s="2419"/>
      <c r="P232" s="2419"/>
      <c r="Q232" s="2419"/>
      <c r="R232" s="2419"/>
      <c r="T232" s="2418"/>
      <c r="U232" s="2418"/>
      <c r="V232" s="2418"/>
      <c r="W232" s="2418"/>
      <c r="X232" s="2418"/>
      <c r="Y232" s="2418"/>
      <c r="Z232" s="851"/>
      <c r="AA232" s="851"/>
      <c r="AB232" s="2416">
        <f t="shared" si="0"/>
        <v>0</v>
      </c>
      <c r="AC232" s="2416"/>
      <c r="AD232" s="2416"/>
      <c r="AE232" s="2416"/>
      <c r="AF232" s="2416"/>
      <c r="AG232" s="2416"/>
      <c r="AH232" s="827"/>
      <c r="AI232" s="827"/>
      <c r="AJ232" s="827"/>
      <c r="AK232" s="610"/>
    </row>
    <row r="233" spans="1:37">
      <c r="A233" s="605"/>
      <c r="B233" s="2468" t="s">
        <v>1184</v>
      </c>
      <c r="C233" s="2468"/>
      <c r="D233" s="2468"/>
      <c r="E233" s="2468"/>
      <c r="F233" s="2468"/>
      <c r="G233" s="2468"/>
      <c r="I233" s="2603"/>
      <c r="J233" s="2603"/>
      <c r="K233" s="2603"/>
      <c r="L233" s="1015"/>
      <c r="N233" s="2419"/>
      <c r="O233" s="2419"/>
      <c r="P233" s="2419"/>
      <c r="Q233" s="2419"/>
      <c r="R233" s="2419"/>
      <c r="T233" s="2418"/>
      <c r="U233" s="2418"/>
      <c r="V233" s="2418"/>
      <c r="W233" s="2418"/>
      <c r="X233" s="2418"/>
      <c r="Y233" s="2418"/>
      <c r="Z233" s="851"/>
      <c r="AA233" s="851"/>
      <c r="AB233" s="2422">
        <f t="shared" si="0"/>
        <v>0</v>
      </c>
      <c r="AC233" s="2422"/>
      <c r="AD233" s="2422"/>
      <c r="AE233" s="2422"/>
      <c r="AF233" s="2422"/>
      <c r="AG233" s="24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6">
        <f>SUM(AB224:AB233)</f>
        <v>0</v>
      </c>
      <c r="AC234" s="2416"/>
      <c r="AD234" s="2416"/>
      <c r="AE234" s="2416"/>
      <c r="AF234" s="2416"/>
      <c r="AG234" s="241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3"/>
      <c r="AC240" s="2453"/>
      <c r="AD240" s="2453"/>
      <c r="AE240" s="2453"/>
      <c r="AF240" s="2453"/>
      <c r="AG240" s="2453"/>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3"/>
      <c r="AC243" s="2453"/>
      <c r="AD243" s="2453"/>
      <c r="AE243" s="2453"/>
      <c r="AF243" s="2453"/>
      <c r="AG243" s="245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5"/>
      <c r="AC244" s="2415"/>
      <c r="AD244" s="2415"/>
      <c r="AE244" s="2415"/>
      <c r="AF244" s="2415"/>
      <c r="AG244" s="241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3">
        <f>IFERROR(AB243/AB244,0)</f>
        <v>0</v>
      </c>
      <c r="AC245" s="2423"/>
      <c r="AD245" s="2423"/>
      <c r="AE245" s="2423"/>
      <c r="AF245" s="2423"/>
      <c r="AG245" s="24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2">
        <f>MAX(AB240,AB245)</f>
        <v>0</v>
      </c>
      <c r="AC247" s="2422"/>
      <c r="AD247" s="2422"/>
      <c r="AE247" s="2422"/>
      <c r="AF247" s="2422"/>
      <c r="AG247" s="24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6">
        <f>AB234+AB247</f>
        <v>0</v>
      </c>
      <c r="AC250" s="2416"/>
      <c r="AD250" s="2416"/>
      <c r="AE250" s="2416"/>
      <c r="AF250" s="2416"/>
      <c r="AG250" s="241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7">
        <v>0.05</v>
      </c>
      <c r="AC251" s="2587"/>
      <c r="AD251" s="2587"/>
      <c r="AE251" s="2587"/>
      <c r="AF251" s="2587"/>
      <c r="AG251" s="2587"/>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8">
        <f>AB250-(AB250*AB251)</f>
        <v>0</v>
      </c>
      <c r="AC252" s="2588"/>
      <c r="AD252" s="2588"/>
      <c r="AE252" s="2588"/>
      <c r="AF252" s="2588"/>
      <c r="AG252" s="2588"/>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6">
        <f>AB252/AB258</f>
        <v>0</v>
      </c>
      <c r="AC254" s="2416"/>
      <c r="AD254" s="2416"/>
      <c r="AE254" s="2416"/>
      <c r="AF254" s="2416"/>
      <c r="AG254" s="241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9">
        <v>15</v>
      </c>
      <c r="AC256" s="2599"/>
      <c r="AD256" s="2599"/>
      <c r="AE256" s="2599"/>
      <c r="AF256" s="2599"/>
      <c r="AG256" s="259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0">
        <v>0.04</v>
      </c>
      <c r="AC257" s="2590"/>
      <c r="AD257" s="2590"/>
      <c r="AE257" s="2590"/>
      <c r="AF257" s="2590"/>
      <c r="AG257" s="259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1">
        <v>1.1499999999999999</v>
      </c>
      <c r="AC258" s="2591"/>
      <c r="AD258" s="2591"/>
      <c r="AE258" s="2591"/>
      <c r="AF258" s="2591"/>
      <c r="AG258" s="25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0">
        <f>PV(AB257/12,AB256*12,-AB254/12, ,0)</f>
        <v>0</v>
      </c>
      <c r="AC260" s="2581"/>
      <c r="AD260" s="2581"/>
      <c r="AE260" s="2581"/>
      <c r="AF260" s="2581"/>
      <c r="AG260" s="2582"/>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4">
        <f>IFERROR(('Sources and Uses Budget'!D105/'Sources and Uses Budget'!B105),0)</f>
        <v>0</v>
      </c>
      <c r="AC266" s="2585"/>
      <c r="AD266" s="2585"/>
      <c r="AE266" s="2585"/>
      <c r="AF266" s="2585"/>
      <c r="AG266" s="25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0">
        <f>AD211*(1-AB266)</f>
        <v>7300000</v>
      </c>
      <c r="AH268" s="2430"/>
      <c r="AI268" s="2430"/>
      <c r="AJ268" s="2430"/>
      <c r="AK268" s="243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0">
        <f>'Sources and Uses Budget'!C105</f>
        <v>90897429</v>
      </c>
      <c r="AH269" s="2430"/>
      <c r="AI269" s="2430"/>
      <c r="AJ269" s="2430"/>
      <c r="AK269" s="243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6">
        <f>ROUNDDOWN(IF(AND(C292="Yes",AK84=10),((AG268*2)/AG269),AG268/AG269),2)</f>
        <v>0.08</v>
      </c>
      <c r="AH270" s="2576"/>
      <c r="AI270" s="2576"/>
      <c r="AJ270" s="2576"/>
      <c r="AK270" s="2576"/>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5">
        <f>IFERROR(IF(AG270=0,0,IF((AG270*100)&gt;8,8,(AG270*100))),0)</f>
        <v>8</v>
      </c>
      <c r="AL273" s="2565"/>
      <c r="AM273" s="256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7" t="s">
        <v>545</v>
      </c>
      <c r="D278" s="2447"/>
      <c r="E278" s="547"/>
      <c r="F278" s="2399" t="s">
        <v>2024</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0"/>
      <c r="AF278" s="635"/>
      <c r="AG278" s="2574" t="s">
        <v>1363</v>
      </c>
      <c r="AH278" s="2574"/>
      <c r="AI278" s="2574"/>
      <c r="AJ278" s="2574"/>
      <c r="AK278" s="550"/>
      <c r="AL278" s="550"/>
      <c r="AM278" s="550"/>
      <c r="AO278" s="550"/>
    </row>
    <row r="279" spans="1:52" ht="13.75" customHeight="1">
      <c r="A279" s="550"/>
      <c r="B279" s="596"/>
      <c r="C279" s="636"/>
      <c r="D279" s="550"/>
      <c r="E279" s="547"/>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0"/>
      <c r="AF279" s="635"/>
      <c r="AG279" s="635"/>
      <c r="AH279" s="635"/>
      <c r="AI279" s="635"/>
      <c r="AJ279" s="550"/>
      <c r="AK279" s="550"/>
      <c r="AL279" s="550"/>
      <c r="AM279" s="550"/>
      <c r="AO279" s="550"/>
    </row>
    <row r="280" spans="1:52">
      <c r="A280" s="550"/>
      <c r="B280" s="596"/>
      <c r="C280" s="636"/>
      <c r="D280" s="550"/>
      <c r="E280" s="547"/>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0"/>
      <c r="AF280" s="635"/>
      <c r="AG280" s="635"/>
      <c r="AH280" s="635"/>
      <c r="AI280" s="635"/>
      <c r="AJ280" s="550"/>
      <c r="AK280" s="550"/>
      <c r="AL280" s="550"/>
      <c r="AM280" s="550"/>
      <c r="AO280" s="550"/>
      <c r="AP280" s="637"/>
    </row>
    <row r="281" spans="1:52">
      <c r="A281" s="550"/>
      <c r="B281" s="596"/>
      <c r="C281" s="636"/>
      <c r="D281" s="550"/>
      <c r="E281" s="547"/>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0"/>
      <c r="AF281" s="635"/>
      <c r="AG281" s="635"/>
      <c r="AH281" s="635"/>
      <c r="AI281" s="635"/>
      <c r="AJ281" s="550"/>
      <c r="AK281" s="550"/>
      <c r="AL281" s="550"/>
      <c r="AM281" s="550"/>
      <c r="AO281" s="550"/>
      <c r="AP281" s="637"/>
    </row>
    <row r="282" spans="1:52" ht="13.75" customHeight="1">
      <c r="A282" s="550"/>
      <c r="B282" s="596"/>
      <c r="C282" s="2575"/>
      <c r="D282" s="2575"/>
      <c r="E282" s="547"/>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0"/>
      <c r="AF282" s="635"/>
      <c r="AG282" s="2574"/>
      <c r="AH282" s="2574"/>
      <c r="AI282" s="2574"/>
      <c r="AJ282" s="2574"/>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5">
        <f>IF($C$278="yes",10,0)</f>
        <v>10</v>
      </c>
      <c r="AL285" s="2565"/>
      <c r="AM285" s="256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364" t="s">
        <v>1382</v>
      </c>
      <c r="B292" s="1364"/>
      <c r="C292" s="2398" t="s">
        <v>591</v>
      </c>
      <c r="D292" s="2447"/>
      <c r="E292" s="547"/>
      <c r="F292" s="2567" t="s">
        <v>1383</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2"/>
      <c r="AF292" s="550"/>
      <c r="AG292" s="2570" t="s">
        <v>2017</v>
      </c>
      <c r="AH292" s="2570"/>
      <c r="AI292" s="2570"/>
      <c r="AJ292" s="2570"/>
      <c r="AK292" s="2570"/>
      <c r="AL292" s="550"/>
      <c r="AM292" s="550"/>
      <c r="AN292" s="73"/>
      <c r="AO292" s="14"/>
      <c r="AP292" s="30"/>
      <c r="AS292" s="570"/>
      <c r="AT292" s="570"/>
      <c r="AU292" s="570"/>
      <c r="AV292" s="32"/>
      <c r="AW292" s="32"/>
    </row>
    <row r="293" spans="1:49" ht="13">
      <c r="A293" s="640"/>
      <c r="B293" s="5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5" t="s">
        <v>2025</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5" t="s">
        <v>1384</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5" t="s">
        <v>1385</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364" t="s">
        <v>1386</v>
      </c>
      <c r="B302" s="1364"/>
      <c r="C302" s="2447" t="s">
        <v>545</v>
      </c>
      <c r="D302" s="2447"/>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9" t="s">
        <v>2019</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1"/>
      <c r="AF303" s="551"/>
      <c r="AG303" s="551"/>
      <c r="AH303" s="551"/>
      <c r="AI303" s="551"/>
      <c r="AJ303" s="550"/>
      <c r="AK303" s="550"/>
      <c r="AL303" s="550"/>
      <c r="AM303" s="550"/>
      <c r="AR303" s="648"/>
    </row>
    <row r="304" spans="1:49" ht="15" customHeight="1">
      <c r="A304" s="550"/>
      <c r="B304" s="551"/>
      <c r="C304" s="550"/>
      <c r="D304" s="551"/>
      <c r="E304" s="550"/>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1"/>
      <c r="AF304" s="551"/>
      <c r="AG304" s="551"/>
      <c r="AH304" s="551"/>
      <c r="AI304" s="551"/>
      <c r="AJ304" s="550"/>
      <c r="AK304" s="550"/>
      <c r="AL304" s="550"/>
      <c r="AM304" s="550"/>
      <c r="AR304" s="648"/>
    </row>
    <row r="305" spans="1:44">
      <c r="A305" s="550"/>
      <c r="B305" s="551"/>
      <c r="C305" s="550"/>
      <c r="D305" s="551"/>
      <c r="E305" s="550"/>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364" t="s">
        <v>1389</v>
      </c>
      <c r="B310" s="1364"/>
      <c r="C310" s="2447" t="s">
        <v>591</v>
      </c>
      <c r="D310" s="244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25" t="s">
        <v>2026</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1"/>
      <c r="AF311" s="551"/>
      <c r="AG311" s="539"/>
      <c r="AH311" s="551"/>
      <c r="AI311" s="551"/>
      <c r="AJ311" s="550"/>
      <c r="AK311" s="550"/>
      <c r="AL311" s="550"/>
      <c r="AM311" s="550"/>
      <c r="AN311" s="73"/>
      <c r="AO311" s="14"/>
      <c r="AP311" s="557" t="s">
        <v>1184</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2" t="s">
        <v>1184</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2"/>
      <c r="AF316" s="642"/>
      <c r="AG316" s="642"/>
      <c r="AH316" s="642"/>
      <c r="AI316" s="642"/>
      <c r="AJ316" s="642"/>
      <c r="AK316" s="642"/>
      <c r="AL316" s="550"/>
      <c r="AM316" s="550"/>
      <c r="AN316" s="73"/>
      <c r="AO316" s="14"/>
      <c r="AP316" s="30"/>
    </row>
    <row r="317" spans="1:44" ht="13" hidden="1">
      <c r="A317" s="550"/>
      <c r="B317" s="551"/>
      <c r="C317" s="730"/>
      <c r="D317" s="730"/>
      <c r="E317" s="547"/>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1"/>
      <c r="AF317" s="551"/>
      <c r="AG317" s="539"/>
      <c r="AH317" s="551"/>
      <c r="AI317" s="551"/>
      <c r="AJ317" s="550"/>
      <c r="AK317" s="550"/>
      <c r="AL317" s="550"/>
      <c r="AM317" s="550"/>
      <c r="AN317" s="73"/>
      <c r="AO317" s="14"/>
      <c r="AP317" s="30"/>
    </row>
    <row r="318" spans="1:44" ht="13" hidden="1">
      <c r="A318" s="550"/>
      <c r="B318" s="551"/>
      <c r="C318" s="730"/>
      <c r="D318" s="730"/>
      <c r="E318" s="547"/>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1"/>
      <c r="AF318" s="551"/>
      <c r="AG318" s="539"/>
      <c r="AH318" s="551"/>
      <c r="AI318" s="551"/>
      <c r="AJ318" s="550"/>
      <c r="AK318" s="550"/>
      <c r="AL318" s="550"/>
      <c r="AM318" s="550"/>
      <c r="AN318" s="73"/>
      <c r="AO318" s="14"/>
      <c r="AP318" s="30"/>
    </row>
    <row r="319" spans="1:44" ht="13" hidden="1">
      <c r="A319" s="550"/>
      <c r="B319" s="551"/>
      <c r="C319" s="730"/>
      <c r="D319" s="730"/>
      <c r="E319" s="547"/>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1"/>
      <c r="AF319" s="551"/>
      <c r="AG319" s="539"/>
      <c r="AH319" s="551"/>
      <c r="AI319" s="551"/>
      <c r="AJ319" s="550"/>
      <c r="AK319" s="550"/>
      <c r="AL319" s="550"/>
      <c r="AM319" s="550"/>
      <c r="AN319" s="73"/>
      <c r="AO319" s="14"/>
      <c r="AP319" s="30"/>
    </row>
    <row r="320" spans="1:44" ht="13" hidden="1">
      <c r="A320" s="550"/>
      <c r="B320" s="551"/>
      <c r="C320" s="730"/>
      <c r="D320" s="730"/>
      <c r="E320" s="547"/>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8" t="s">
        <v>1184</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8" t="s">
        <v>1184</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364" t="s">
        <v>1392</v>
      </c>
      <c r="B333" s="1364"/>
      <c r="C333" s="2447" t="s">
        <v>591</v>
      </c>
      <c r="D333" s="2447"/>
      <c r="E333" s="547"/>
      <c r="F333" s="2546" t="s">
        <v>2027</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1"/>
      <c r="AF334" s="551"/>
      <c r="AG334" s="551"/>
      <c r="AH334" s="551"/>
      <c r="AI334" s="551"/>
      <c r="AJ334" s="550"/>
      <c r="AK334" s="550"/>
      <c r="AL334" s="550"/>
      <c r="AM334" s="550"/>
      <c r="AN334" s="73"/>
      <c r="AO334" s="14"/>
    </row>
    <row r="335" spans="1:42" ht="15" hidden="1" customHeight="1">
      <c r="A335" s="550"/>
      <c r="B335" s="551"/>
      <c r="C335" s="551"/>
      <c r="D335" s="551"/>
      <c r="E335" s="551"/>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3">
        <f>IF(NOT(OR(Application!M355="Yes",Application!M356="Yes")),0,AP295)</f>
        <v>9</v>
      </c>
      <c r="AL338" s="2434"/>
      <c r="AM338" s="243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6" t="s">
        <v>1314</v>
      </c>
      <c r="AF341" s="2466"/>
      <c r="AG341" s="2466"/>
      <c r="AH341" s="2466"/>
      <c r="AI341" s="2466"/>
      <c r="AJ341" s="2466"/>
      <c r="AK341" s="246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2" t="s">
        <v>1454</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3"/>
      <c r="AL343" s="603"/>
      <c r="AM343" s="603"/>
      <c r="AN343" s="597"/>
    </row>
    <row r="344" spans="1:44" s="550" customFormat="1" ht="12.75" customHeight="1">
      <c r="A344" s="603"/>
      <c r="B344" s="611"/>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3"/>
      <c r="AL344" s="603"/>
      <c r="AM344" s="603"/>
      <c r="AN344" s="597"/>
    </row>
    <row r="345" spans="1:44" s="550" customFormat="1" ht="12.75" customHeight="1">
      <c r="A345" s="603"/>
      <c r="B345" s="611"/>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3"/>
      <c r="AL345" s="603"/>
      <c r="AM345" s="603"/>
      <c r="AN345" s="597"/>
      <c r="AQ345" s="570"/>
    </row>
    <row r="346" spans="1:44" s="550" customFormat="1" ht="12.75" customHeight="1">
      <c r="A346" s="603"/>
      <c r="B346" s="611"/>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3"/>
      <c r="AL346" s="603"/>
      <c r="AM346" s="603"/>
      <c r="AN346" s="597"/>
      <c r="AQ346" s="570"/>
    </row>
    <row r="347" spans="1:44" s="550" customFormat="1" ht="12.4" customHeight="1">
      <c r="A347" s="603"/>
      <c r="B347" s="611"/>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3"/>
      <c r="AL347" s="603"/>
      <c r="AM347" s="603"/>
      <c r="AN347" s="597"/>
      <c r="AQ347" s="570"/>
      <c r="AR347" s="570"/>
    </row>
    <row r="348" spans="1:44" s="550" customFormat="1" ht="45.75" customHeight="1">
      <c r="A348" s="603"/>
      <c r="B348" s="611"/>
      <c r="C348" s="2442" t="s">
        <v>2092</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2" t="s">
        <v>2207</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3"/>
      <c r="AL350" s="603"/>
      <c r="AM350" s="603"/>
      <c r="AN350" s="597"/>
      <c r="AQ350" s="570"/>
      <c r="AR350" s="570"/>
    </row>
    <row r="351" spans="1:44" s="550" customFormat="1" ht="30" customHeight="1">
      <c r="A351" s="603"/>
      <c r="B351" s="611"/>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3"/>
      <c r="AL351" s="603"/>
      <c r="AM351" s="603"/>
      <c r="AN351" s="597"/>
      <c r="AR351" s="570"/>
    </row>
    <row r="352" spans="1:44" s="550" customFormat="1" ht="12.75" customHeight="1">
      <c r="A352" s="603"/>
      <c r="B352" s="611"/>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3"/>
      <c r="AL352" s="603"/>
      <c r="AM352" s="603"/>
      <c r="AN352" s="597"/>
      <c r="AR352" s="570"/>
    </row>
    <row r="353" spans="1:46" s="550" customFormat="1" ht="12.75" customHeight="1">
      <c r="A353" s="603"/>
      <c r="B353" s="611"/>
      <c r="C353" s="2442" t="s">
        <v>1455</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3"/>
      <c r="AL353" s="603"/>
      <c r="AM353" s="603"/>
      <c r="AN353" s="597"/>
      <c r="AQ353" s="570"/>
      <c r="AR353" s="570"/>
    </row>
    <row r="354" spans="1:46" s="550" customFormat="1" ht="12.75" customHeight="1">
      <c r="A354" s="603"/>
      <c r="B354" s="611"/>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3"/>
      <c r="AL354" s="603"/>
      <c r="AM354" s="603"/>
      <c r="AN354" s="597"/>
      <c r="AQ354" s="570"/>
      <c r="AR354" s="570"/>
    </row>
    <row r="355" spans="1:46" s="550" customFormat="1" ht="13.15" customHeight="1">
      <c r="A355" s="603"/>
      <c r="B355" s="611"/>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3"/>
      <c r="AL355" s="603"/>
      <c r="AM355" s="603"/>
      <c r="AN355" s="597"/>
      <c r="AQ355" s="570"/>
      <c r="AR355" s="570"/>
    </row>
    <row r="356" spans="1:46" s="550" customFormat="1" ht="12.75" customHeight="1">
      <c r="A356" s="603"/>
      <c r="B356" s="611"/>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3"/>
      <c r="AL356" s="603"/>
      <c r="AM356" s="603"/>
      <c r="AN356" s="597"/>
      <c r="AO356" s="694"/>
      <c r="AP356" s="694"/>
      <c r="AQ356" s="570"/>
    </row>
    <row r="357" spans="1:46" s="550" customFormat="1" ht="11.9" customHeight="1">
      <c r="A357" s="603"/>
      <c r="B357" s="611"/>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3"/>
      <c r="AL357" s="603"/>
      <c r="AM357" s="603"/>
      <c r="AN357" s="597"/>
      <c r="AO357" s="695" t="s">
        <v>112</v>
      </c>
      <c r="AP357" s="696">
        <f>IF(C381="Yes",5,0)</f>
        <v>0</v>
      </c>
      <c r="AS357" s="539" t="s">
        <v>1456</v>
      </c>
    </row>
    <row r="358" spans="1:46" s="550" customFormat="1" ht="12.75" customHeight="1">
      <c r="A358" s="603"/>
      <c r="B358" s="611"/>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3"/>
      <c r="AL358" s="603"/>
      <c r="AM358" s="603"/>
      <c r="AN358" s="597"/>
      <c r="AO358" s="695" t="s">
        <v>113</v>
      </c>
      <c r="AP358" s="696">
        <f>IF(C389="Yes",5,0)</f>
        <v>0</v>
      </c>
      <c r="AS358" s="2408">
        <f>IF(Application!D211="Non-Targeted",(SUM(AQ366+AQ375)),AS362)</f>
        <v>10</v>
      </c>
      <c r="AT358" s="2408"/>
    </row>
    <row r="359" spans="1:46" s="550" customFormat="1" ht="12.75" customHeight="1">
      <c r="A359" s="603"/>
      <c r="B359" s="611"/>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3"/>
      <c r="AL359" s="603"/>
      <c r="AM359" s="603"/>
      <c r="AN359" s="597"/>
      <c r="AO359" s="695" t="s">
        <v>119</v>
      </c>
      <c r="AP359" s="696">
        <f>IF(C397="Yes",7,0)</f>
        <v>7</v>
      </c>
      <c r="AS359" s="539" t="s">
        <v>1457</v>
      </c>
    </row>
    <row r="360" spans="1:46" s="550" customFormat="1" ht="12.75" customHeight="1">
      <c r="A360" s="603"/>
      <c r="B360" s="611"/>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3"/>
      <c r="AL360" s="603"/>
      <c r="AM360" s="603"/>
      <c r="AN360" s="597"/>
      <c r="AO360" s="597"/>
      <c r="AP360" s="696">
        <f>IF(C399="Yes",5,0)</f>
        <v>0</v>
      </c>
      <c r="AS360" s="2408">
        <f>IF(AND(AQ366&gt;0,AQ375&gt;0),(AQ366+AQ375)/2,0)</f>
        <v>0</v>
      </c>
      <c r="AT360" s="2408"/>
    </row>
    <row r="361" spans="1:46" s="550" customFormat="1" ht="12.75" customHeight="1">
      <c r="A361" s="603"/>
      <c r="B361" s="611"/>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3"/>
      <c r="AL361" s="603"/>
      <c r="AM361" s="603"/>
      <c r="AN361" s="597"/>
      <c r="AO361" s="695" t="s">
        <v>581</v>
      </c>
      <c r="AP361" s="696">
        <f>IF(C407="Yes",5,0)</f>
        <v>0</v>
      </c>
      <c r="AS361" s="539" t="s">
        <v>1878</v>
      </c>
    </row>
    <row r="362" spans="1:46" s="550" customFormat="1" ht="12.75" customHeight="1">
      <c r="A362" s="603"/>
      <c r="B362" s="611"/>
      <c r="C362" s="2536" t="s">
        <v>2231</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408">
        <f>IF(AQ366=0,AQ375,AQ366)</f>
        <v>10</v>
      </c>
      <c r="AT362" s="2408"/>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763</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584</v>
      </c>
      <c r="AP364" s="696">
        <f>IF(C421="Yes",5,0)</f>
        <v>0</v>
      </c>
    </row>
    <row r="365" spans="1:46" s="550" customFormat="1" ht="11.9"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445">
        <f>IF(AP366&gt;0,AP366,0)</f>
        <v>10</v>
      </c>
      <c r="AR366" s="2445"/>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2" t="s">
        <v>1458</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3"/>
      <c r="AL369" s="603"/>
      <c r="AM369" s="603"/>
      <c r="AN369" s="597"/>
      <c r="AO369" s="695" t="s">
        <v>456</v>
      </c>
      <c r="AP369" s="696">
        <f>IF(C442="Yes",5,0)</f>
        <v>0</v>
      </c>
    </row>
    <row r="370" spans="1:81" s="550" customFormat="1" ht="12.75" customHeight="1">
      <c r="A370" s="603"/>
      <c r="B370" s="611"/>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3"/>
      <c r="AL370" s="603"/>
      <c r="AM370" s="603"/>
      <c r="AN370" s="597"/>
      <c r="AO370" s="695" t="s">
        <v>461</v>
      </c>
      <c r="AP370" s="696">
        <f>IF(C449="Yes",5,0)</f>
        <v>0</v>
      </c>
    </row>
    <row r="371" spans="1:81" s="550" customFormat="1" ht="68.150000000000006" customHeight="1">
      <c r="A371" s="603"/>
      <c r="B371" s="611"/>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3">
        <f>Application!DU802-U374</f>
        <v>264</v>
      </c>
      <c r="V373" s="2443"/>
      <c r="W373" s="244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4">
        <f>IF(Application!D211="SRO",Application!DU755,Application!AG756)</f>
        <v>0</v>
      </c>
      <c r="V374" s="2444"/>
      <c r="W374" s="244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5">
        <f>IF(AP375&gt;0,AP375,0)</f>
        <v>0</v>
      </c>
      <c r="AR375" s="2445"/>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6" t="s">
        <v>1460</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6" t="s">
        <v>591</v>
      </c>
      <c r="D381" s="244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8" t="s">
        <v>1462</v>
      </c>
      <c r="AG381" s="2448"/>
      <c r="AH381" s="2448"/>
      <c r="AI381" s="2448"/>
      <c r="AJ381" s="2448"/>
      <c r="AK381" s="2448"/>
      <c r="AL381" s="244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6" t="s">
        <v>1463</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2"/>
      <c r="AN388" s="597"/>
      <c r="BS388" s="30"/>
      <c r="BT388" s="30"/>
      <c r="BU388" s="14"/>
      <c r="BV388" s="14"/>
      <c r="BW388" s="14"/>
      <c r="BX388" s="14"/>
      <c r="BY388" s="14"/>
      <c r="BZ388" s="14"/>
      <c r="CA388" s="14"/>
      <c r="CB388" s="14"/>
      <c r="CC388" s="14"/>
    </row>
    <row r="389" spans="1:81" s="550" customFormat="1" ht="12.75" customHeight="1">
      <c r="A389" s="536"/>
      <c r="B389" s="14"/>
      <c r="C389" s="2446" t="s">
        <v>591</v>
      </c>
      <c r="D389" s="244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8" t="s">
        <v>1462</v>
      </c>
      <c r="AG389" s="2448"/>
      <c r="AH389" s="2448"/>
      <c r="AI389" s="2448"/>
      <c r="AJ389" s="2448"/>
      <c r="AK389" s="2448"/>
      <c r="AL389" s="244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6" t="s">
        <v>1465</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6" t="s">
        <v>545</v>
      </c>
      <c r="D397" s="244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8" t="s">
        <v>1467</v>
      </c>
      <c r="AG397" s="2448"/>
      <c r="AH397" s="2448"/>
      <c r="AI397" s="2448"/>
      <c r="AJ397" s="2448"/>
      <c r="AK397" s="2448"/>
      <c r="AL397" s="244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6" t="s">
        <v>591</v>
      </c>
      <c r="D399" s="244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8" t="s">
        <v>1462</v>
      </c>
      <c r="AG399" s="2448"/>
      <c r="AH399" s="2448"/>
      <c r="AI399" s="2448"/>
      <c r="AJ399" s="2448"/>
      <c r="AK399" s="2448"/>
      <c r="AL399" s="244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6" t="s">
        <v>1471</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6" t="s">
        <v>591</v>
      </c>
      <c r="D407" s="244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8" t="s">
        <v>1462</v>
      </c>
      <c r="AG407" s="2448"/>
      <c r="AH407" s="2448"/>
      <c r="AI407" s="2448"/>
      <c r="AJ407" s="2448"/>
      <c r="AK407" s="2448"/>
      <c r="AL407" s="244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6" t="s">
        <v>545</v>
      </c>
      <c r="D409" s="244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8" t="s">
        <v>1474</v>
      </c>
      <c r="AG409" s="2448"/>
      <c r="AH409" s="2448"/>
      <c r="AI409" s="2448"/>
      <c r="AJ409" s="2448"/>
      <c r="AK409" s="2448"/>
      <c r="AL409" s="244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6" t="s">
        <v>591</v>
      </c>
      <c r="D412" s="2447"/>
      <c r="E412" s="715" t="s">
        <v>1475</v>
      </c>
      <c r="F412" s="2436" t="s">
        <v>1476</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1462</v>
      </c>
      <c r="AG413" s="2526"/>
      <c r="AH413" s="2526"/>
      <c r="AI413" s="2526"/>
      <c r="AJ413" s="2526"/>
      <c r="AK413" s="2526"/>
      <c r="AL413" s="2535"/>
      <c r="AM413" s="570"/>
      <c r="AN413" s="597"/>
      <c r="BS413" s="570"/>
      <c r="BT413" s="570"/>
      <c r="BY413" s="570"/>
      <c r="BZ413" s="570"/>
      <c r="CA413" s="570"/>
      <c r="CB413" s="570"/>
      <c r="CC413" s="570"/>
    </row>
    <row r="414" spans="1:81" s="550" customFormat="1" ht="12.75" customHeight="1">
      <c r="A414" s="536"/>
      <c r="B414" s="14"/>
      <c r="C414" s="731"/>
      <c r="D414" s="14"/>
      <c r="E414" s="691"/>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6" t="s">
        <v>1478</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7"/>
      <c r="AG417" s="747"/>
      <c r="AH417" s="747"/>
      <c r="AI417" s="747"/>
      <c r="AJ417" s="747"/>
      <c r="AK417" s="747"/>
      <c r="AL417" s="748"/>
      <c r="AM417" s="570"/>
    </row>
    <row r="418" spans="1:55" ht="13">
      <c r="A418" s="536"/>
      <c r="C418" s="731"/>
      <c r="E418" s="691"/>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39"/>
      <c r="AG418" s="536"/>
      <c r="AH418" s="550"/>
      <c r="AI418" s="550"/>
      <c r="AJ418" s="550"/>
      <c r="AK418" s="550"/>
      <c r="AL418" s="732"/>
      <c r="AM418" s="570"/>
    </row>
    <row r="419" spans="1:55" s="550" customFormat="1" ht="12.75" customHeight="1">
      <c r="A419" s="536"/>
      <c r="B419" s="14"/>
      <c r="C419" s="731"/>
      <c r="D419" s="14"/>
      <c r="E419" s="691"/>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2"/>
      <c r="AM419" s="570"/>
      <c r="AN419" s="597"/>
    </row>
    <row r="420" spans="1:55" s="550" customFormat="1" ht="12.75" customHeight="1">
      <c r="A420" s="536"/>
      <c r="B420" s="14"/>
      <c r="C420" s="739"/>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2"/>
      <c r="AM420" s="570"/>
      <c r="AN420" s="597"/>
    </row>
    <row r="421" spans="1:55" s="550" customFormat="1" ht="12.75" customHeight="1">
      <c r="A421" s="536"/>
      <c r="B421" s="14"/>
      <c r="C421" s="2446" t="s">
        <v>591</v>
      </c>
      <c r="D421" s="244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6" t="s">
        <v>1462</v>
      </c>
      <c r="AG421" s="2526"/>
      <c r="AH421" s="2526"/>
      <c r="AI421" s="2526"/>
      <c r="AJ421" s="2526"/>
      <c r="AK421" s="2526"/>
      <c r="AL421" s="2535"/>
      <c r="AM421" s="570"/>
      <c r="AN421" s="597"/>
    </row>
    <row r="422" spans="1:55" s="550" customFormat="1" ht="12.75" customHeight="1">
      <c r="A422" s="536"/>
      <c r="B422" s="14"/>
      <c r="C422" s="739"/>
      <c r="AL422" s="732"/>
      <c r="AM422" s="570"/>
      <c r="AN422" s="597"/>
    </row>
    <row r="423" spans="1:55" s="550" customFormat="1" ht="12.75" customHeight="1">
      <c r="A423" s="536"/>
      <c r="B423" s="14"/>
      <c r="C423" s="2446" t="s">
        <v>591</v>
      </c>
      <c r="D423" s="244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6" t="s">
        <v>1474</v>
      </c>
      <c r="AG423" s="2526"/>
      <c r="AH423" s="2526"/>
      <c r="AI423" s="2526"/>
      <c r="AJ423" s="2526"/>
      <c r="AK423" s="2526"/>
      <c r="AL423" s="253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6" t="s">
        <v>1482</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4"/>
      <c r="AG427" s="714"/>
      <c r="AH427" s="714"/>
      <c r="AI427" s="714"/>
      <c r="AJ427" s="714"/>
      <c r="AK427" s="714"/>
      <c r="AL427" s="745"/>
      <c r="AM427" s="570"/>
      <c r="AN427" s="597"/>
    </row>
    <row r="428" spans="1:55" s="550" customFormat="1" ht="12.75" customHeight="1">
      <c r="A428" s="536"/>
      <c r="B428" s="14"/>
      <c r="C428" s="731"/>
      <c r="D428" s="14"/>
      <c r="E428" s="691"/>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39"/>
      <c r="AG428" s="536"/>
      <c r="AL428" s="732"/>
      <c r="AM428" s="570"/>
      <c r="AN428" s="597"/>
    </row>
    <row r="429" spans="1:55" s="550" customFormat="1" ht="12.4" customHeight="1">
      <c r="A429" s="536"/>
      <c r="B429" s="14"/>
      <c r="C429" s="731"/>
      <c r="D429" s="14"/>
      <c r="E429" s="691"/>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2"/>
      <c r="AM429" s="570"/>
      <c r="AN429" s="597"/>
    </row>
    <row r="430" spans="1:55" s="550" customFormat="1" ht="12.75" customHeight="1">
      <c r="A430" s="536"/>
      <c r="B430" s="14"/>
      <c r="C430" s="2446" t="s">
        <v>591</v>
      </c>
      <c r="D430" s="244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6" t="s">
        <v>1462</v>
      </c>
      <c r="AG430" s="2526"/>
      <c r="AH430" s="2526"/>
      <c r="AI430" s="2526"/>
      <c r="AJ430" s="2526"/>
      <c r="AK430" s="2526"/>
      <c r="AL430" s="253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6" t="s">
        <v>1485</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4"/>
      <c r="AG434" s="594"/>
      <c r="AH434" s="594"/>
      <c r="AI434" s="594"/>
      <c r="AJ434" s="594"/>
      <c r="AK434" s="594"/>
      <c r="AL434" s="750"/>
      <c r="AM434" s="570"/>
      <c r="AO434" s="550"/>
      <c r="AP434" s="550"/>
    </row>
    <row r="435" spans="1:60" s="550" customFormat="1" ht="12.75" customHeight="1">
      <c r="A435" s="536"/>
      <c r="B435" s="14"/>
      <c r="C435" s="731"/>
      <c r="D435" s="14"/>
      <c r="E435" s="691"/>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4"/>
      <c r="AG435" s="594"/>
      <c r="AH435" s="594"/>
      <c r="AI435" s="594"/>
      <c r="AJ435" s="594"/>
      <c r="AK435" s="594"/>
      <c r="AL435" s="750"/>
      <c r="AM435" s="570"/>
      <c r="AN435" s="597"/>
    </row>
    <row r="436" spans="1:60" s="550" customFormat="1" ht="12.75" customHeight="1">
      <c r="A436" s="536"/>
      <c r="B436" s="14"/>
      <c r="C436" s="751"/>
      <c r="D436" s="730"/>
      <c r="E436" s="719"/>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4"/>
      <c r="AG437" s="594"/>
      <c r="AH437" s="594"/>
      <c r="AI437" s="594"/>
      <c r="AJ437" s="594"/>
      <c r="AK437" s="594"/>
      <c r="AL437" s="750"/>
      <c r="AM437" s="570"/>
      <c r="AN437" s="597"/>
    </row>
    <row r="438" spans="1:60" s="550" customFormat="1" ht="12.75" customHeight="1">
      <c r="A438" s="536"/>
      <c r="B438" s="14"/>
      <c r="C438" s="751"/>
      <c r="D438" s="730"/>
      <c r="E438" s="719"/>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4"/>
      <c r="AG438" s="594"/>
      <c r="AH438" s="594"/>
      <c r="AI438" s="594"/>
      <c r="AJ438" s="594"/>
      <c r="AK438" s="594"/>
      <c r="AL438" s="750"/>
      <c r="AM438" s="570"/>
      <c r="AN438" s="597"/>
    </row>
    <row r="439" spans="1:60" s="550" customFormat="1" ht="12.75" customHeight="1">
      <c r="A439" s="536"/>
      <c r="B439" s="14"/>
      <c r="C439" s="751"/>
      <c r="D439" s="730"/>
      <c r="E439" s="719"/>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4"/>
      <c r="AG439" s="594"/>
      <c r="AH439" s="594"/>
      <c r="AI439" s="594"/>
      <c r="AJ439" s="594"/>
      <c r="AK439" s="594"/>
      <c r="AL439" s="750"/>
      <c r="AM439" s="570"/>
      <c r="AN439" s="597"/>
    </row>
    <row r="440" spans="1:60" s="550" customFormat="1" ht="12.75" customHeight="1">
      <c r="A440" s="536"/>
      <c r="B440" s="14"/>
      <c r="C440" s="751"/>
      <c r="D440" s="730"/>
      <c r="E440" s="719"/>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4"/>
      <c r="AG440" s="594"/>
      <c r="AH440" s="594"/>
      <c r="AI440" s="594"/>
      <c r="AJ440" s="594"/>
      <c r="AK440" s="594"/>
      <c r="AL440" s="750"/>
      <c r="AM440" s="570"/>
      <c r="AN440" s="597"/>
    </row>
    <row r="441" spans="1:60" s="550" customFormat="1" ht="17.25" customHeight="1">
      <c r="A441" s="536"/>
      <c r="B441" s="14"/>
      <c r="C441" s="751"/>
      <c r="D441" s="730"/>
      <c r="E441" s="719"/>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2"/>
      <c r="AM441" s="570"/>
      <c r="AN441" s="597"/>
    </row>
    <row r="442" spans="1:60" s="550" customFormat="1" ht="12.75" customHeight="1">
      <c r="A442" s="536"/>
      <c r="B442" s="14"/>
      <c r="C442" s="2446" t="s">
        <v>591</v>
      </c>
      <c r="D442" s="244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6" t="s">
        <v>1462</v>
      </c>
      <c r="AG442" s="2526"/>
      <c r="AH442" s="2526"/>
      <c r="AI442" s="2526"/>
      <c r="AJ442" s="2526"/>
      <c r="AK442" s="2526"/>
      <c r="AL442" s="253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6" t="s">
        <v>1488</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4"/>
      <c r="AG445" s="714"/>
      <c r="AH445" s="714"/>
      <c r="AI445" s="714"/>
      <c r="AJ445" s="714"/>
      <c r="AK445" s="714"/>
      <c r="AL445" s="745"/>
      <c r="AM445" s="570"/>
      <c r="AN445" s="597"/>
    </row>
    <row r="446" spans="1:60" s="550" customFormat="1" ht="12.75" customHeight="1">
      <c r="A446" s="536"/>
      <c r="B446" s="14"/>
      <c r="C446" s="751"/>
      <c r="D446" s="730"/>
      <c r="E446" s="719"/>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1"/>
      <c r="AG446" s="591"/>
      <c r="AH446" s="591"/>
      <c r="AI446" s="591"/>
      <c r="AJ446" s="591"/>
      <c r="AK446" s="591"/>
      <c r="AL446" s="720"/>
      <c r="AM446" s="570"/>
      <c r="AN446" s="597"/>
    </row>
    <row r="447" spans="1:60" s="550" customFormat="1" ht="12.75" customHeight="1">
      <c r="A447" s="536"/>
      <c r="B447" s="14"/>
      <c r="C447" s="751"/>
      <c r="D447" s="730"/>
      <c r="E447" s="719"/>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1"/>
      <c r="AG447" s="591"/>
      <c r="AH447" s="591"/>
      <c r="AI447" s="591"/>
      <c r="AJ447" s="591"/>
      <c r="AK447" s="591"/>
      <c r="AL447" s="720"/>
      <c r="AM447" s="570"/>
      <c r="AN447" s="597"/>
    </row>
    <row r="448" spans="1:60" s="550" customFormat="1" ht="12.75" customHeight="1">
      <c r="A448" s="536"/>
      <c r="B448" s="14"/>
      <c r="C448" s="751"/>
      <c r="D448" s="730"/>
      <c r="E448" s="719"/>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2"/>
      <c r="AM448" s="570"/>
      <c r="AN448" s="597"/>
    </row>
    <row r="449" spans="1:40" s="550" customFormat="1" ht="12.75" customHeight="1">
      <c r="A449" s="536"/>
      <c r="B449" s="14"/>
      <c r="C449" s="2446" t="s">
        <v>591</v>
      </c>
      <c r="D449" s="244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6" t="s">
        <v>1462</v>
      </c>
      <c r="AG449" s="2526"/>
      <c r="AH449" s="2526"/>
      <c r="AI449" s="2526"/>
      <c r="AJ449" s="2526"/>
      <c r="AK449" s="2526"/>
      <c r="AL449" s="253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2" t="s">
        <v>591</v>
      </c>
      <c r="D453" s="2563"/>
      <c r="E453" s="715" t="s">
        <v>1497</v>
      </c>
      <c r="F453" s="2436" t="s">
        <v>1498</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1462</v>
      </c>
      <c r="AG453" s="2464"/>
      <c r="AH453" s="2464"/>
      <c r="AI453" s="2464"/>
      <c r="AJ453" s="2464"/>
      <c r="AK453" s="2464"/>
      <c r="AL453" s="2465"/>
      <c r="AM453" s="570"/>
      <c r="AN453" s="753"/>
    </row>
    <row r="454" spans="1:40" s="550" customFormat="1" ht="12.75" customHeight="1">
      <c r="A454" s="536"/>
      <c r="B454" s="14"/>
      <c r="C454" s="751"/>
      <c r="D454" s="730"/>
      <c r="E454" s="719"/>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1"/>
      <c r="AG454" s="591"/>
      <c r="AH454" s="591"/>
      <c r="AI454" s="591"/>
      <c r="AJ454" s="591"/>
      <c r="AK454" s="591"/>
      <c r="AL454" s="720"/>
      <c r="AM454" s="570"/>
      <c r="AN454" s="754"/>
    </row>
    <row r="455" spans="1:40" s="550" customFormat="1" ht="17.649999999999999" customHeight="1">
      <c r="A455" s="536"/>
      <c r="B455" s="14"/>
      <c r="C455" s="756"/>
      <c r="D455" s="723"/>
      <c r="E455" s="724"/>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6" t="s">
        <v>591</v>
      </c>
      <c r="D457" s="2447"/>
      <c r="E457" s="715" t="s">
        <v>1503</v>
      </c>
      <c r="F457" s="2436" t="s">
        <v>1504</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1462</v>
      </c>
      <c r="AG457" s="2464"/>
      <c r="AH457" s="2464"/>
      <c r="AI457" s="2464"/>
      <c r="AJ457" s="2464"/>
      <c r="AK457" s="2464"/>
      <c r="AL457" s="2465"/>
      <c r="AM457" s="570"/>
      <c r="AN457" s="535"/>
    </row>
    <row r="458" spans="1:40" s="550" customFormat="1" ht="12.75" customHeight="1">
      <c r="A458" s="536"/>
      <c r="B458" s="14"/>
      <c r="C458" s="731"/>
      <c r="D458" s="14"/>
      <c r="E458" s="691"/>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39"/>
      <c r="AG458" s="536"/>
      <c r="AL458" s="732"/>
      <c r="AM458" s="570"/>
      <c r="AN458" s="535"/>
    </row>
    <row r="459" spans="1:40" s="550" customFormat="1" ht="12.75" customHeight="1">
      <c r="A459" s="536"/>
      <c r="B459" s="14"/>
      <c r="C459" s="731"/>
      <c r="D459" s="14"/>
      <c r="E459" s="691"/>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39"/>
      <c r="AG459" s="536"/>
      <c r="AL459" s="732"/>
      <c r="AM459" s="570"/>
      <c r="AN459" s="535"/>
    </row>
    <row r="460" spans="1:40" s="550" customFormat="1" ht="12.75" customHeight="1">
      <c r="A460" s="536"/>
      <c r="B460" s="14"/>
      <c r="C460" s="756"/>
      <c r="D460" s="723"/>
      <c r="E460" s="724"/>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6" t="s">
        <v>1507</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4"/>
      <c r="AH462" s="714"/>
      <c r="AI462" s="714"/>
      <c r="AJ462" s="714"/>
      <c r="AK462" s="714"/>
      <c r="AL462" s="745"/>
      <c r="AM462" s="570"/>
      <c r="AN462" s="597"/>
    </row>
    <row r="463" spans="1:40" s="550" customFormat="1" ht="12.75" customHeight="1">
      <c r="A463" s="536"/>
      <c r="B463" s="14"/>
      <c r="C463" s="731"/>
      <c r="D463" s="14"/>
      <c r="E463" s="691"/>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2"/>
      <c r="AM463" s="570"/>
      <c r="AN463" s="597"/>
    </row>
    <row r="464" spans="1:40" s="550" customFormat="1" ht="12.75" customHeight="1">
      <c r="A464" s="536"/>
      <c r="B464" s="14"/>
      <c r="C464" s="739"/>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2"/>
      <c r="AM464" s="570"/>
      <c r="AN464" s="597"/>
    </row>
    <row r="465" spans="1:58" s="550" customFormat="1" ht="12.75" customHeight="1">
      <c r="A465" s="536"/>
      <c r="B465" s="14"/>
      <c r="C465" s="739"/>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2"/>
      <c r="AM465" s="570"/>
      <c r="AN465" s="597"/>
    </row>
    <row r="466" spans="1:58" s="550" customFormat="1" ht="12.75" customHeight="1">
      <c r="A466" s="536"/>
      <c r="B466" s="14"/>
      <c r="C466" s="2446" t="s">
        <v>591</v>
      </c>
      <c r="D466" s="244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8" t="s">
        <v>1462</v>
      </c>
      <c r="AG466" s="2448"/>
      <c r="AH466" s="2448"/>
      <c r="AI466" s="2448"/>
      <c r="AJ466" s="2448"/>
      <c r="AK466" s="2448"/>
      <c r="AL466" s="244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3">
        <f>IF(Application!D214="N/A",AS358,AS360)</f>
        <v>10</v>
      </c>
      <c r="AL469" s="2434"/>
      <c r="AM469" s="243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8" t="s">
        <v>1511</v>
      </c>
      <c r="AF472" s="2448"/>
      <c r="AG472" s="2448"/>
      <c r="AH472" s="2448"/>
      <c r="AI472" s="2448"/>
      <c r="AJ472" s="2448"/>
      <c r="AK472" s="244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5" t="s">
        <v>591</v>
      </c>
      <c r="D478" s="2456"/>
      <c r="E478" s="761" t="s">
        <v>507</v>
      </c>
      <c r="F478" s="2533" t="s">
        <v>1517</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1" t="s">
        <v>591</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2" t="s">
        <v>545</v>
      </c>
      <c r="D482" s="2463"/>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1" t="s">
        <v>591</v>
      </c>
      <c r="W485" s="2441"/>
      <c r="X485" s="244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1" t="s">
        <v>591</v>
      </c>
      <c r="W487" s="2441"/>
      <c r="X487" s="244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1" t="s">
        <v>591</v>
      </c>
      <c r="W492" s="2441"/>
      <c r="X492" s="244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0"/>
      <c r="E495" s="246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1" t="s">
        <v>591</v>
      </c>
      <c r="W496" s="2441"/>
      <c r="X496" s="244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1" t="s">
        <v>591</v>
      </c>
      <c r="W498" s="2441"/>
      <c r="X498" s="244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5" t="s">
        <v>591</v>
      </c>
      <c r="D501" s="2456"/>
      <c r="E501" s="761" t="s">
        <v>507</v>
      </c>
      <c r="F501" s="2533" t="s">
        <v>1517</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4" t="s">
        <v>591</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5" t="s">
        <v>591</v>
      </c>
      <c r="D505" s="2456"/>
      <c r="E505" s="761" t="s">
        <v>757</v>
      </c>
      <c r="F505" s="2457" t="s">
        <v>1539</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9" t="s">
        <v>591</v>
      </c>
      <c r="G508" s="2459"/>
      <c r="H508" s="245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5" t="s">
        <v>591</v>
      </c>
      <c r="D510" s="245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5"/>
      <c r="D512" s="246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6" t="s">
        <v>591</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7" t="s">
        <v>591</v>
      </c>
      <c r="D515" s="252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7" t="s">
        <v>591</v>
      </c>
      <c r="D519" s="2528"/>
      <c r="F519" s="795" t="s">
        <v>1547</v>
      </c>
      <c r="G519" s="2437" t="s">
        <v>1548</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9" t="s">
        <v>591</v>
      </c>
      <c r="D523" s="253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1" t="s">
        <v>591</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3">
        <f>SUM(AG479:AG524)</f>
        <v>0</v>
      </c>
      <c r="AL535" s="2434"/>
      <c r="AM535" s="243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6" t="s">
        <v>1560</v>
      </c>
      <c r="AF538" s="2466"/>
      <c r="AG538" s="2466"/>
      <c r="AH538" s="2466"/>
      <c r="AI538" s="2466"/>
      <c r="AJ538" s="2466"/>
      <c r="AK538" s="246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7" t="s">
        <v>545</v>
      </c>
      <c r="D541" s="2447"/>
      <c r="E541" s="551"/>
      <c r="F541" s="2469" t="s">
        <v>1561</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5"/>
      <c r="AN541" s="597"/>
    </row>
    <row r="542" spans="1:81" s="550" customFormat="1" ht="12.75" customHeight="1">
      <c r="A542" s="539"/>
      <c r="B542" s="539"/>
      <c r="C542" s="551"/>
      <c r="D542" s="551"/>
      <c r="E542" s="551"/>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7" t="s">
        <v>591</v>
      </c>
      <c r="D544" s="244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5" t="s">
        <v>1563</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5"/>
      <c r="AN545" s="597"/>
      <c r="AS545" s="870"/>
      <c r="AT545" s="870"/>
      <c r="AU545" s="870"/>
      <c r="AV545" s="870"/>
      <c r="AW545" s="870"/>
    </row>
    <row r="546" spans="1:49" s="550" customFormat="1" ht="12.75" customHeight="1">
      <c r="B546" s="806"/>
      <c r="C546" s="806"/>
      <c r="D546" s="806"/>
      <c r="E546" s="8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5" t="s">
        <v>1564</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3"/>
      <c r="AM548" s="595"/>
      <c r="AN548" s="597"/>
    </row>
    <row r="549" spans="1:49" s="550" customFormat="1" ht="12.75" customHeight="1">
      <c r="B549" s="806"/>
      <c r="C549" s="806"/>
      <c r="D549" s="806"/>
      <c r="E549" s="8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4">
        <f>Application!AJ992</f>
        <v>86984670</v>
      </c>
      <c r="AQ550" s="2424"/>
      <c r="AR550" s="24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0">
        <f>'Sources and Uses Budget'!S107+'Sources and Uses Budget'!T107</f>
        <v>85227582</v>
      </c>
      <c r="AG551" s="2430"/>
      <c r="AH551" s="2430"/>
      <c r="AI551" s="2430"/>
      <c r="AJ551" s="243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1">
        <f>IFERROR(AP559,0)</f>
        <v>121778538</v>
      </c>
      <c r="AG552" s="2431"/>
      <c r="AH552" s="2431"/>
      <c r="AI552" s="2431"/>
      <c r="AJ552" s="2431"/>
      <c r="AK552" s="595"/>
      <c r="AL552" s="595"/>
      <c r="AM552" s="595"/>
      <c r="AN552" s="597"/>
      <c r="AP552" s="2424">
        <f>Application!AJ1045</f>
        <v>8698467</v>
      </c>
      <c r="AQ552" s="2424"/>
      <c r="AR552" s="24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2">
        <f>IFERROR(ROUNDDOWN(IF(C544="YES",((1-(AF551/AF552))*2),(1-(AF551/AF552))),2),0)</f>
        <v>0.3</v>
      </c>
      <c r="AG553" s="2432"/>
      <c r="AH553" s="2432"/>
      <c r="AI553" s="2432"/>
      <c r="AJ553" s="2432"/>
      <c r="AK553" s="595"/>
      <c r="AL553" s="595"/>
      <c r="AM553" s="595"/>
      <c r="AN553" s="597"/>
      <c r="AP553" s="2420">
        <f>Application!AJ1049</f>
        <v>17396934</v>
      </c>
      <c r="AQ553" s="2420"/>
      <c r="AR553" s="2420"/>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9">
        <f>IF(((AP552+AP553)/AP550)&gt;0.8,0.8,((AP552+AP553)/AP550))</f>
        <v>0.3</v>
      </c>
      <c r="AQ554" s="2439"/>
      <c r="AR554" s="2439"/>
      <c r="AS554" s="550" t="s">
        <v>2171</v>
      </c>
    </row>
    <row r="555" spans="1:49" s="550" customFormat="1" ht="12.75" customHeight="1">
      <c r="A555" s="624"/>
      <c r="B555" s="2506" t="s">
        <v>2031</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5"/>
      <c r="AL555" s="595"/>
      <c r="AM555" s="595"/>
      <c r="AN555" s="597"/>
    </row>
    <row r="556" spans="1:49" s="550" customFormat="1" ht="12.75" customHeight="1">
      <c r="A556" s="624"/>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5"/>
      <c r="AL556" s="595"/>
      <c r="AM556" s="595"/>
      <c r="AN556" s="597"/>
      <c r="AP556" s="2424">
        <f>AP557-AP552-AP553</f>
        <v>95683137</v>
      </c>
      <c r="AQ556" s="2440"/>
      <c r="AR556" s="2440"/>
      <c r="AS556" s="550" t="s">
        <v>2173</v>
      </c>
    </row>
    <row r="557" spans="1:49" s="550" customFormat="1" ht="12.75" customHeight="1">
      <c r="A557" s="624"/>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5"/>
      <c r="AL557" s="595"/>
      <c r="AM557" s="595"/>
      <c r="AN557" s="597"/>
      <c r="AP557" s="2424">
        <f>Application!AJ1053</f>
        <v>121778538</v>
      </c>
      <c r="AQ557" s="2424"/>
      <c r="AR557" s="24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5">
        <f>IFERROR(IF(AND(C541="N/A",C544="N/A"),0,IF(AF553=0,0,IF((AF553*100)&gt;12,12,(AF553*100)))),0)</f>
        <v>12</v>
      </c>
      <c r="AL559" s="2515"/>
      <c r="AM559" s="2516"/>
      <c r="AN559" s="597"/>
      <c r="AP559" s="2409">
        <f>AP556+(AP550*AP554)</f>
        <v>121778538</v>
      </c>
      <c r="AQ559" s="2410"/>
      <c r="AR559" s="241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6" t="s">
        <v>1314</v>
      </c>
      <c r="AF562" s="2466"/>
      <c r="AG562" s="2466"/>
      <c r="AH562" s="2466"/>
      <c r="AI562" s="2466"/>
      <c r="AJ562" s="2466"/>
      <c r="AK562" s="246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6" t="s">
        <v>2022</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2"/>
      <c r="AL564" s="573"/>
      <c r="AM564" s="603"/>
      <c r="AN564" s="597"/>
    </row>
    <row r="565" spans="1:42" s="550" customFormat="1" ht="12.75" customHeight="1">
      <c r="A565" s="6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2"/>
      <c r="AL565" s="573"/>
      <c r="AM565" s="603"/>
      <c r="AN565" s="597"/>
    </row>
    <row r="566" spans="1:42" s="550" customFormat="1" ht="12.75" customHeight="1">
      <c r="A566" s="6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2"/>
      <c r="AL566" s="573"/>
      <c r="AM566" s="603"/>
      <c r="AN566" s="597"/>
    </row>
    <row r="567" spans="1:42" s="550" customFormat="1" ht="12.75" customHeight="1">
      <c r="A567" s="6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2"/>
      <c r="AL567" s="573"/>
      <c r="AM567" s="603"/>
      <c r="AN567" s="597"/>
    </row>
    <row r="568" spans="1:42" s="550" customFormat="1" ht="12.75" customHeight="1">
      <c r="A568" s="6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2"/>
      <c r="AL568" s="573"/>
      <c r="AM568" s="603"/>
      <c r="AN568" s="597"/>
    </row>
    <row r="569" spans="1:42" s="550" customFormat="1" ht="12.75" customHeight="1">
      <c r="A569" s="6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2"/>
      <c r="AL569" s="573"/>
      <c r="AM569" s="603"/>
      <c r="AN569" s="597"/>
    </row>
    <row r="570" spans="1:42" s="550" customFormat="1" ht="12.75" customHeight="1">
      <c r="A570" s="6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2"/>
      <c r="AL570" s="573"/>
      <c r="AM570" s="603"/>
      <c r="AN570" s="597"/>
    </row>
    <row r="571" spans="1:42" ht="12.75" customHeight="1">
      <c r="A571" s="6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2"/>
      <c r="AL571" s="573"/>
      <c r="AM571" s="603"/>
    </row>
    <row r="572" spans="1:42" s="5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6" t="s">
        <v>1338</v>
      </c>
      <c r="AG578" s="2526"/>
      <c r="AH578" s="2526"/>
      <c r="AI578" s="2526"/>
      <c r="AJ578" s="2526"/>
      <c r="AK578" s="2526"/>
      <c r="AL578" s="2526"/>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6" t="s">
        <v>1396</v>
      </c>
      <c r="AG585" s="2526"/>
      <c r="AH585" s="2526"/>
      <c r="AI585" s="2526"/>
      <c r="AJ585" s="2526"/>
      <c r="AK585" s="2526"/>
      <c r="AL585" s="2526"/>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6" t="s">
        <v>1378</v>
      </c>
      <c r="AG591" s="2526"/>
      <c r="AH591" s="2526"/>
      <c r="AI591" s="2526"/>
      <c r="AJ591" s="2526"/>
      <c r="AK591" s="2526"/>
      <c r="AL591" s="2526"/>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6" t="s">
        <v>1399</v>
      </c>
      <c r="AG597" s="2526"/>
      <c r="AH597" s="2526"/>
      <c r="AI597" s="2526"/>
      <c r="AJ597" s="2526"/>
      <c r="AK597" s="2526"/>
      <c r="AL597" s="2526"/>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2" t="s">
        <v>1184</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6" t="s">
        <v>1352</v>
      </c>
      <c r="AG603" s="2526"/>
      <c r="AH603" s="2526"/>
      <c r="AI603" s="2526"/>
      <c r="AJ603" s="2526"/>
      <c r="AK603" s="2526"/>
      <c r="AL603" s="2526"/>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0" t="s">
        <v>687</v>
      </c>
      <c r="I606" s="2450"/>
      <c r="J606" s="936"/>
      <c r="K606" s="936"/>
      <c r="L606" s="936"/>
      <c r="N606" s="22"/>
      <c r="O606" s="22"/>
      <c r="P606" s="22"/>
      <c r="Q606" s="1151" t="s">
        <v>2176</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1" t="s">
        <v>591</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8" t="s">
        <v>591</v>
      </c>
      <c r="C616" s="2398"/>
      <c r="D616" s="642"/>
      <c r="E616" s="2426" t="s">
        <v>1403</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2"/>
      <c r="AI616" s="642"/>
      <c r="AJ616" s="642"/>
      <c r="AK616" s="642"/>
      <c r="AL616" s="642"/>
      <c r="AN616" s="597"/>
    </row>
    <row r="617" spans="1:42" s="550" customFormat="1" ht="12.75" customHeight="1">
      <c r="B617" s="536"/>
      <c r="C617" s="933"/>
      <c r="D617" s="6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2"/>
      <c r="AI617" s="642"/>
      <c r="AJ617" s="642"/>
      <c r="AK617" s="642"/>
      <c r="AL617" s="642"/>
      <c r="AN617" s="597"/>
    </row>
    <row r="618" spans="1:42" s="550" customFormat="1" ht="12.75" customHeight="1">
      <c r="B618" s="536"/>
      <c r="C618" s="933"/>
      <c r="D618" s="6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2"/>
      <c r="AI618" s="642"/>
      <c r="AJ618" s="642"/>
      <c r="AK618" s="642"/>
      <c r="AL618" s="642"/>
      <c r="AN618" s="597"/>
    </row>
    <row r="619" spans="1:42" s="550" customFormat="1" ht="12.75" customHeight="1">
      <c r="B619" s="536"/>
      <c r="C619" s="933"/>
      <c r="D619" s="6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3">
        <f>VLOOKUP($H$606,$AO$586:$AP$591,2,FALSE)+IF(R606=AO594,0,VLOOKUP($I$614,$AO$613:$AP$615,2,FALSE))</f>
        <v>7</v>
      </c>
      <c r="AK621" s="243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0" t="s">
        <v>1694</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526" t="s">
        <v>1352</v>
      </c>
      <c r="AG625" s="2526"/>
      <c r="AH625" s="2526"/>
      <c r="AI625" s="2526"/>
      <c r="AJ625" s="2526"/>
      <c r="AK625" s="2526"/>
      <c r="AL625" s="2526"/>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8" t="s">
        <v>591</v>
      </c>
      <c r="Y634" s="239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6" t="s">
        <v>1408</v>
      </c>
      <c r="AG636" s="2526"/>
      <c r="AH636" s="2526"/>
      <c r="AI636" s="2526"/>
      <c r="AJ636" s="2526"/>
      <c r="AK636" s="2526"/>
      <c r="AL636" s="252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0" t="s">
        <v>509</v>
      </c>
      <c r="I638" s="245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3">
        <f>VLOOKUP($H$638,$AO$605:$AP$607,2,FALSE)</f>
        <v>2</v>
      </c>
      <c r="AK640" s="243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6" t="s">
        <v>2097</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6"/>
      <c r="AF644" s="2526" t="s">
        <v>1352</v>
      </c>
      <c r="AG644" s="2526"/>
      <c r="AH644" s="2526"/>
      <c r="AI644" s="2526"/>
      <c r="AJ644" s="2526"/>
      <c r="AK644" s="2526"/>
      <c r="AL644" s="2526"/>
      <c r="AN644" s="597"/>
    </row>
    <row r="645" spans="1:42" s="550" customFormat="1" ht="12.75" customHeight="1">
      <c r="B645" s="536"/>
      <c r="C645" s="536"/>
      <c r="D645" s="6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6" t="s">
        <v>1408</v>
      </c>
      <c r="AG647" s="2526"/>
      <c r="AH647" s="2526"/>
      <c r="AI647" s="2526"/>
      <c r="AJ647" s="2526"/>
      <c r="AK647" s="2526"/>
      <c r="AL647" s="2526"/>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0" t="s">
        <v>687</v>
      </c>
      <c r="I650" s="245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3">
        <f>VLOOKUP(H650,AT605:AU607,2,FALSE)</f>
        <v>3</v>
      </c>
      <c r="AK652" s="243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6" t="s">
        <v>1418</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6"/>
      <c r="AE657" s="536"/>
      <c r="AF657" s="2526" t="s">
        <v>1378</v>
      </c>
      <c r="AG657" s="2526"/>
      <c r="AH657" s="2526"/>
      <c r="AI657" s="2526"/>
      <c r="AJ657" s="2526"/>
      <c r="AK657" s="2526"/>
      <c r="AL657" s="2526"/>
      <c r="AN657" s="597"/>
    </row>
    <row r="658" spans="1:42" s="550" customFormat="1" ht="12.75" customHeight="1">
      <c r="B658" s="536"/>
      <c r="C658" s="539"/>
      <c r="D658" s="5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6"/>
      <c r="AE658" s="536"/>
      <c r="AF658" s="536"/>
      <c r="AG658" s="536"/>
      <c r="AH658" s="536"/>
      <c r="AI658" s="536"/>
      <c r="AJ658" s="536"/>
      <c r="AK658" s="536"/>
      <c r="AL658" s="536"/>
      <c r="AN658" s="597"/>
    </row>
    <row r="659" spans="1:42" s="550" customFormat="1" ht="12.75" customHeight="1">
      <c r="B659" s="536"/>
      <c r="C659" s="539"/>
      <c r="D659" s="6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6" t="s">
        <v>1419</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6"/>
      <c r="AE661" s="536"/>
      <c r="AF661" s="2526" t="s">
        <v>1399</v>
      </c>
      <c r="AG661" s="2526"/>
      <c r="AH661" s="2526"/>
      <c r="AI661" s="2526"/>
      <c r="AJ661" s="2526"/>
      <c r="AK661" s="2526"/>
      <c r="AL661" s="2526"/>
      <c r="AN661" s="597"/>
    </row>
    <row r="662" spans="1:42" s="550" customFormat="1" ht="12.75" customHeight="1">
      <c r="B662" s="536"/>
      <c r="C662" s="539"/>
      <c r="D662" s="5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6"/>
      <c r="AE662" s="536"/>
      <c r="AF662" s="536"/>
      <c r="AG662" s="536"/>
      <c r="AH662" s="536"/>
      <c r="AI662" s="536"/>
      <c r="AJ662" s="536"/>
      <c r="AK662" s="536"/>
      <c r="AL662" s="536"/>
      <c r="AN662" s="597"/>
    </row>
    <row r="663" spans="1:42" s="550" customFormat="1" ht="15" customHeight="1">
      <c r="B663" s="536"/>
      <c r="C663" s="539"/>
      <c r="D663" s="6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6" t="s">
        <v>1420</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6"/>
      <c r="AE665" s="536"/>
      <c r="AF665" s="2526" t="s">
        <v>1352</v>
      </c>
      <c r="AG665" s="2526"/>
      <c r="AH665" s="2526"/>
      <c r="AI665" s="2526"/>
      <c r="AJ665" s="2526"/>
      <c r="AK665" s="2526"/>
      <c r="AL665" s="2526"/>
      <c r="AN665" s="597"/>
    </row>
    <row r="666" spans="1:42" s="550" customFormat="1" ht="12.75" customHeight="1">
      <c r="B666" s="536"/>
      <c r="C666" s="931"/>
      <c r="D666" s="5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6"/>
      <c r="AE666" s="2526"/>
      <c r="AF666" s="2526"/>
      <c r="AG666" s="2526"/>
      <c r="AH666" s="2526"/>
      <c r="AI666" s="2526"/>
      <c r="AJ666" s="2526"/>
      <c r="AK666" s="2526"/>
      <c r="AL666" s="594"/>
      <c r="AN666" s="597"/>
      <c r="AO666" s="550" t="s">
        <v>591</v>
      </c>
      <c r="AP666" s="673">
        <v>0</v>
      </c>
    </row>
    <row r="667" spans="1:42" s="550" customFormat="1" ht="12.75" customHeight="1">
      <c r="A667" s="679"/>
      <c r="B667" s="536"/>
      <c r="C667" s="536"/>
      <c r="D667" s="6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6" t="s">
        <v>1421</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6"/>
      <c r="AE669" s="536"/>
      <c r="AF669" s="2526" t="s">
        <v>1399</v>
      </c>
      <c r="AG669" s="2526"/>
      <c r="AH669" s="2526"/>
      <c r="AI669" s="2526"/>
      <c r="AJ669" s="2526"/>
      <c r="AK669" s="2526"/>
      <c r="AL669" s="2526"/>
      <c r="AN669" s="597"/>
    </row>
    <row r="670" spans="1:42" s="550" customFormat="1" ht="12.75" customHeight="1">
      <c r="A670" s="670"/>
      <c r="B670" s="536"/>
      <c r="C670" s="947"/>
      <c r="D670" s="6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6" t="s">
        <v>1422</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6"/>
      <c r="AE673" s="536"/>
      <c r="AF673" s="2526" t="s">
        <v>1352</v>
      </c>
      <c r="AG673" s="2526"/>
      <c r="AH673" s="2526"/>
      <c r="AI673" s="2526"/>
      <c r="AJ673" s="2526"/>
      <c r="AK673" s="2526"/>
      <c r="AL673" s="2526"/>
      <c r="AM673" s="596"/>
      <c r="AN673" s="597"/>
    </row>
    <row r="674" spans="1:42" s="550" customFormat="1" ht="12.75" customHeight="1">
      <c r="B674" s="536"/>
      <c r="C674" s="931"/>
      <c r="D674" s="6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6"/>
      <c r="AE674" s="536"/>
      <c r="AF674" s="536"/>
      <c r="AG674" s="536"/>
      <c r="AH674" s="536"/>
      <c r="AI674" s="536"/>
      <c r="AJ674" s="536"/>
      <c r="AK674" s="536"/>
      <c r="AL674" s="536"/>
      <c r="AM674" s="596"/>
      <c r="AN674" s="597"/>
    </row>
    <row r="675" spans="1:42" s="550" customFormat="1" ht="12.75" customHeight="1">
      <c r="B675" s="536"/>
      <c r="C675" s="931"/>
      <c r="D675" s="6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6" t="s">
        <v>1423</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6"/>
      <c r="AE677" s="536"/>
      <c r="AF677" s="2526" t="s">
        <v>1408</v>
      </c>
      <c r="AG677" s="2526"/>
      <c r="AH677" s="2526"/>
      <c r="AI677" s="2526"/>
      <c r="AJ677" s="2526"/>
      <c r="AK677" s="2526"/>
      <c r="AL677" s="2526"/>
      <c r="AM677" s="596"/>
      <c r="AN677" s="597"/>
    </row>
    <row r="678" spans="1:42" s="550" customFormat="1" ht="12.75" customHeight="1">
      <c r="A678" s="679"/>
      <c r="B678" s="536"/>
      <c r="C678" s="931"/>
      <c r="D678" s="6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6" t="s">
        <v>1424</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6"/>
      <c r="AE681" s="536"/>
      <c r="AF681" s="2526" t="s">
        <v>1425</v>
      </c>
      <c r="AG681" s="2526"/>
      <c r="AH681" s="2526"/>
      <c r="AI681" s="2526"/>
      <c r="AJ681" s="2526"/>
      <c r="AK681" s="2526"/>
      <c r="AL681" s="2526"/>
      <c r="AM681" s="596"/>
      <c r="AN681" s="597"/>
      <c r="AO681" s="611" t="s">
        <v>687</v>
      </c>
      <c r="AP681" s="550">
        <v>3</v>
      </c>
    </row>
    <row r="682" spans="1:42" s="550" customFormat="1" ht="12.75" customHeight="1">
      <c r="A682" s="679"/>
      <c r="B682" s="536"/>
      <c r="C682" s="931"/>
      <c r="D682" s="6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0" t="s">
        <v>687</v>
      </c>
      <c r="I685" s="245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3">
        <f>VLOOKUP($H$685,$AO$633:$AP$640,2,FALSE)</f>
        <v>5</v>
      </c>
      <c r="AK687" s="243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198</v>
      </c>
    </row>
    <row r="691" spans="1:51" s="550" customFormat="1" ht="12.75" customHeight="1">
      <c r="A691" s="679"/>
      <c r="B691" s="536"/>
      <c r="C691" s="948"/>
      <c r="D691" s="663" t="s">
        <v>687</v>
      </c>
      <c r="E691" s="2396" t="s">
        <v>2189</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6"/>
      <c r="AD691" s="536"/>
      <c r="AE691" s="536"/>
      <c r="AF691" s="2526" t="s">
        <v>1352</v>
      </c>
      <c r="AG691" s="2526"/>
      <c r="AH691" s="2526"/>
      <c r="AI691" s="2526"/>
      <c r="AJ691" s="2526"/>
      <c r="AK691" s="2526"/>
      <c r="AL691" s="2526"/>
      <c r="AN691" s="597"/>
      <c r="AW691" s="22" t="s">
        <v>2184</v>
      </c>
      <c r="AX691" s="550">
        <f>Application!DE753</f>
        <v>0</v>
      </c>
    </row>
    <row r="692" spans="1:51" s="550" customFormat="1" ht="12.75" customHeight="1">
      <c r="A692" s="679"/>
      <c r="B692" s="536"/>
      <c r="C692" s="948"/>
      <c r="D692" s="663"/>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6" t="s">
        <v>2133</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6"/>
      <c r="AD694" s="536"/>
      <c r="AE694" s="536"/>
      <c r="AF694" s="2526" t="s">
        <v>1352</v>
      </c>
      <c r="AG694" s="2526"/>
      <c r="AH694" s="2526"/>
      <c r="AI694" s="2526"/>
      <c r="AJ694" s="2526"/>
      <c r="AK694" s="2526"/>
      <c r="AL694" s="2526"/>
      <c r="AN694" s="597"/>
      <c r="AW694" s="22" t="s">
        <v>2187</v>
      </c>
      <c r="AX694" s="550">
        <f>AX691+AX692+AX693</f>
        <v>0</v>
      </c>
    </row>
    <row r="695" spans="1:51" s="550" customFormat="1" ht="12.75" customHeight="1">
      <c r="B695" s="536"/>
      <c r="C695" s="940"/>
      <c r="D695" s="6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6"/>
      <c r="AD695" s="536"/>
      <c r="AE695" s="616"/>
      <c r="AF695" s="536"/>
      <c r="AG695" s="536"/>
      <c r="AH695" s="536"/>
      <c r="AI695" s="536"/>
      <c r="AJ695" s="536"/>
      <c r="AK695" s="536"/>
      <c r="AL695" s="536"/>
      <c r="AN695" s="597"/>
      <c r="AO695" s="2440" t="b">
        <f>IF(Application!D211="Special Needs",IF(AY695&gt;=0.25,TRUE,FALSE),IF(AX695&gt;=0.25,TRUE,FALSE))</f>
        <v>0</v>
      </c>
      <c r="AP695" s="2440"/>
      <c r="AW695" s="22" t="s">
        <v>2188</v>
      </c>
      <c r="AX695" s="550">
        <f>IFERROR(AX694/AX690,0)</f>
        <v>0</v>
      </c>
      <c r="AY695" s="550">
        <f>IFERROR(AX694/(AX690-AX689),0)</f>
        <v>0</v>
      </c>
    </row>
    <row r="696" spans="1:51" s="550" customFormat="1" ht="12.75" customHeight="1">
      <c r="B696" s="536"/>
      <c r="C696" s="940"/>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6" t="s">
        <v>2134</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6"/>
      <c r="AD699" s="536"/>
      <c r="AE699" s="536"/>
      <c r="AF699" s="2526" t="s">
        <v>1408</v>
      </c>
      <c r="AG699" s="2526"/>
      <c r="AH699" s="2526"/>
      <c r="AI699" s="2526"/>
      <c r="AJ699" s="2526"/>
      <c r="AK699" s="2526"/>
      <c r="AL699" s="2526"/>
      <c r="AN699" s="597"/>
      <c r="AO699" s="611" t="s">
        <v>509</v>
      </c>
      <c r="AP699" s="550">
        <v>1</v>
      </c>
    </row>
    <row r="700" spans="1:51" s="550" customFormat="1" ht="12" customHeight="1">
      <c r="B700" s="536"/>
      <c r="C700" s="931"/>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6"/>
      <c r="AD700" s="536"/>
      <c r="AE700" s="616"/>
      <c r="AF700" s="536"/>
      <c r="AG700" s="536"/>
      <c r="AH700" s="536"/>
      <c r="AI700" s="536"/>
      <c r="AJ700" s="536"/>
      <c r="AK700" s="536"/>
      <c r="AL700" s="536"/>
      <c r="AN700" s="597"/>
    </row>
    <row r="701" spans="1:51" s="550" customFormat="1" ht="12" customHeight="1">
      <c r="B701" s="536"/>
      <c r="C701" s="931"/>
      <c r="D701" s="5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6"/>
      <c r="AD701" s="536"/>
      <c r="AE701" s="616"/>
      <c r="AF701" s="536"/>
      <c r="AG701" s="536"/>
      <c r="AH701" s="536"/>
      <c r="AI701" s="536"/>
      <c r="AJ701" s="536"/>
      <c r="AK701" s="536"/>
      <c r="AL701" s="536"/>
      <c r="AN701" s="597"/>
    </row>
    <row r="702" spans="1:51" s="550" customFormat="1" ht="12" customHeight="1">
      <c r="B702" s="536"/>
      <c r="C702" s="931"/>
      <c r="D702" s="5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6"/>
      <c r="AD702" s="536"/>
      <c r="AE702" s="616"/>
      <c r="AF702" s="536"/>
      <c r="AG702" s="536"/>
      <c r="AH702" s="536"/>
      <c r="AI702" s="536"/>
      <c r="AJ702" s="536"/>
      <c r="AK702" s="536"/>
      <c r="AL702" s="536"/>
      <c r="AN702" s="597"/>
    </row>
    <row r="703" spans="1:51" s="570" customFormat="1" ht="13" customHeight="1">
      <c r="A703" s="550"/>
      <c r="B703" s="536"/>
      <c r="C703" s="931"/>
      <c r="D703" s="5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6" t="s">
        <v>1693</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0" t="s">
        <v>687</v>
      </c>
      <c r="I709" s="245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3">
        <f>VLOOKUP($H$709,$AO$703:$AP$706,2,FALSE)</f>
        <v>3</v>
      </c>
      <c r="AK711" s="243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8" t="s">
        <v>1695</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526" t="s">
        <v>1352</v>
      </c>
      <c r="AG715" s="2526"/>
      <c r="AH715" s="2526"/>
      <c r="AI715" s="2526"/>
      <c r="AJ715" s="2526"/>
      <c r="AK715" s="2526"/>
      <c r="AL715" s="2526"/>
      <c r="AM715" s="550"/>
      <c r="AN715" s="684"/>
      <c r="AP715" s="570" t="s">
        <v>1432</v>
      </c>
    </row>
    <row r="716" spans="1:43" s="570" customFormat="1" ht="11.9"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9" t="s">
        <v>1435</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526" t="s">
        <v>1408</v>
      </c>
      <c r="AG719" s="2526"/>
      <c r="AH719" s="2526"/>
      <c r="AI719" s="2526"/>
      <c r="AJ719" s="2526"/>
      <c r="AK719" s="2526"/>
      <c r="AL719" s="252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50" t="s">
        <v>591</v>
      </c>
      <c r="I723" s="245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3">
        <f>VLOOKUP($H$723,$AP$720:$AQ$722,2,FALSE)</f>
        <v>0</v>
      </c>
      <c r="AK725" s="2435"/>
      <c r="AL725" s="595"/>
      <c r="AM725" s="550"/>
      <c r="AN725" s="684"/>
      <c r="AP725" s="2433"/>
      <c r="AQ725" s="243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26" t="s">
        <v>1696</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6"/>
      <c r="AD729" s="536"/>
      <c r="AE729" s="536"/>
      <c r="AF729" s="2526" t="s">
        <v>1352</v>
      </c>
      <c r="AG729" s="2526"/>
      <c r="AH729" s="2526"/>
      <c r="AI729" s="2526"/>
      <c r="AJ729" s="2526"/>
      <c r="AK729" s="2526"/>
      <c r="AL729" s="2526"/>
      <c r="AM729" s="550"/>
      <c r="AN729" s="684"/>
      <c r="AT729" s="14"/>
      <c r="AU729" s="14"/>
      <c r="AV729" s="14"/>
      <c r="AW729" s="14"/>
      <c r="AX729" s="14"/>
      <c r="AY729" s="14"/>
      <c r="AZ729" s="14"/>
    </row>
    <row r="730" spans="1:81" s="570" customFormat="1" ht="13">
      <c r="A730" s="550"/>
      <c r="B730" s="536"/>
      <c r="C730" s="933"/>
      <c r="D730" s="6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6" t="s">
        <v>1439</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6"/>
      <c r="AD732" s="536"/>
      <c r="AE732" s="536"/>
      <c r="AF732" s="2526" t="s">
        <v>1408</v>
      </c>
      <c r="AG732" s="2526"/>
      <c r="AH732" s="2526"/>
      <c r="AI732" s="2526"/>
      <c r="AJ732" s="2526"/>
      <c r="AK732" s="2526"/>
      <c r="AL732" s="2526"/>
      <c r="AM732" s="550"/>
      <c r="AN732" s="684"/>
      <c r="AT732" s="14"/>
      <c r="AU732" s="14"/>
      <c r="AV732" s="14"/>
      <c r="AW732" s="14"/>
      <c r="AX732" s="14"/>
      <c r="AY732" s="14"/>
      <c r="AZ732" s="14"/>
    </row>
    <row r="733" spans="1:81" s="570" customFormat="1" ht="13">
      <c r="A733" s="550"/>
      <c r="B733" s="536"/>
      <c r="C733" s="933"/>
      <c r="D733" s="5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0" t="s">
        <v>591</v>
      </c>
      <c r="I735" s="245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3">
        <f>VLOOKUP($H$735,$AO$666:$AP$668,2,FALSE)</f>
        <v>0</v>
      </c>
      <c r="AK737" s="243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26" t="s">
        <v>1442</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6"/>
      <c r="AD741" s="536"/>
      <c r="AE741" s="536"/>
      <c r="AF741" s="2526" t="s">
        <v>1352</v>
      </c>
      <c r="AG741" s="2526"/>
      <c r="AH741" s="2526"/>
      <c r="AI741" s="2526"/>
      <c r="AJ741" s="2526"/>
      <c r="AK741" s="2526"/>
      <c r="AL741" s="2526"/>
      <c r="AM741" s="550"/>
      <c r="AN741" s="684"/>
      <c r="AT741" s="14"/>
      <c r="AU741" s="14"/>
      <c r="AV741" s="14"/>
      <c r="AW741" s="14"/>
      <c r="AX741" s="14"/>
      <c r="AY741" s="14"/>
      <c r="AZ741" s="14"/>
    </row>
    <row r="742" spans="1:81" s="570" customFormat="1" ht="13">
      <c r="A742" s="550"/>
      <c r="B742" s="536"/>
      <c r="C742" s="931"/>
      <c r="D742" s="6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6" t="s">
        <v>1443</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5"/>
      <c r="AC746" s="536"/>
      <c r="AD746" s="536"/>
      <c r="AE746" s="536"/>
      <c r="AF746" s="2526" t="s">
        <v>1408</v>
      </c>
      <c r="AG746" s="2526"/>
      <c r="AH746" s="2526"/>
      <c r="AI746" s="2526"/>
      <c r="AJ746" s="2526"/>
      <c r="AK746" s="2526"/>
      <c r="AL746" s="2526"/>
      <c r="AM746" s="550"/>
      <c r="AN746" s="684"/>
      <c r="AO746" s="30"/>
      <c r="AP746" s="14"/>
    </row>
    <row r="747" spans="1:81" s="570" customFormat="1" ht="13">
      <c r="A747" s="550"/>
      <c r="B747" s="536"/>
      <c r="C747" s="931"/>
      <c r="D747" s="6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0" t="s">
        <v>687</v>
      </c>
      <c r="I751" s="245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3">
        <f>VLOOKUP($H$751,$AO$680:$AP$682,2,FALSE)</f>
        <v>3</v>
      </c>
      <c r="AK753" s="243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26" t="s">
        <v>1445</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6"/>
      <c r="AD757" s="536"/>
      <c r="AE757" s="536"/>
      <c r="AF757" s="2526" t="s">
        <v>1408</v>
      </c>
      <c r="AG757" s="2526"/>
      <c r="AH757" s="2526"/>
      <c r="AI757" s="2526"/>
      <c r="AJ757" s="2526"/>
      <c r="AK757" s="2526"/>
      <c r="AL757" s="252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6" t="s">
        <v>1446</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6"/>
      <c r="AD760" s="536"/>
      <c r="AE760" s="536"/>
      <c r="AF760" s="2526" t="s">
        <v>1425</v>
      </c>
      <c r="AG760" s="2526"/>
      <c r="AH760" s="2526"/>
      <c r="AI760" s="2526"/>
      <c r="AJ760" s="2526"/>
      <c r="AK760" s="2526"/>
      <c r="AL760" s="252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0" t="s">
        <v>687</v>
      </c>
      <c r="I763" s="245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3">
        <f>VLOOKUP($H$763,$AO$697:$AP$699,2,FALSE)</f>
        <v>2</v>
      </c>
      <c r="AK765" s="243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6" t="s">
        <v>1692</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6"/>
      <c r="AF769" s="2526" t="s">
        <v>1408</v>
      </c>
      <c r="AG769" s="2526"/>
      <c r="AH769" s="2526"/>
      <c r="AI769" s="2526"/>
      <c r="AJ769" s="2526"/>
      <c r="AK769" s="2526"/>
      <c r="AL769" s="2526"/>
      <c r="AM769" s="613"/>
      <c r="AN769" s="684"/>
      <c r="AO769" s="550" t="s">
        <v>591</v>
      </c>
      <c r="AP769" s="673">
        <v>0</v>
      </c>
    </row>
    <row r="770" spans="1:81" s="570" customFormat="1" ht="13.75" customHeight="1">
      <c r="A770" s="550"/>
      <c r="B770" s="616"/>
      <c r="C770" s="940"/>
      <c r="D770" s="6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526" t="s">
        <v>1352</v>
      </c>
      <c r="AG774" s="2526"/>
      <c r="AH774" s="2526"/>
      <c r="AI774" s="2526"/>
      <c r="AJ774" s="2526"/>
      <c r="AK774" s="2526"/>
      <c r="AL774" s="2526"/>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0" t="s">
        <v>591</v>
      </c>
      <c r="I779" s="245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3">
        <f>VLOOKUP($H$779,$AO$769:$AP$771,2,FALSE)</f>
        <v>0</v>
      </c>
      <c r="AK781" s="2435"/>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6" t="s">
        <v>2032</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6"/>
      <c r="AF785" s="2526" t="s">
        <v>1352</v>
      </c>
      <c r="AG785" s="2526"/>
      <c r="AH785" s="2526"/>
      <c r="AI785" s="2526"/>
      <c r="AJ785" s="2526"/>
      <c r="AK785" s="2526"/>
      <c r="AL785" s="2526"/>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450" t="s">
        <v>591</v>
      </c>
      <c r="I790" s="245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3">
        <f>VLOOKUP($H$790,$AO$784:$AP$785,2,FALSE)</f>
        <v>0</v>
      </c>
      <c r="AK792" s="243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3">
        <f>IF(($AJ$621+$AJ$640+$AJ$652+$AJ$687+$AJ$711+$AJ$725+$AJ$737+$AJ$753+$AJ$765+$AJ$781+AJ792)&gt;10,10,($AJ$621+$AJ$640+$AJ$652+$AJ$687+$AJ$711+$AJ$725+$AJ$737+$AJ$753+$AJ$765+$AJ$781+AJ792))</f>
        <v>10</v>
      </c>
      <c r="AL794" s="2434"/>
      <c r="AM794" s="243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7" t="s">
        <v>1568</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6"/>
      <c r="AQ800" s="816"/>
    </row>
    <row r="801" spans="1:81" ht="13">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20" t="s">
        <v>1569</v>
      </c>
      <c r="U802" s="2521"/>
      <c r="V802" s="2521"/>
      <c r="W802" s="2521"/>
      <c r="X802" s="2521"/>
      <c r="Y802" s="2522"/>
      <c r="Z802" s="2520" t="s">
        <v>1570</v>
      </c>
      <c r="AA802" s="2521"/>
      <c r="AB802" s="2521"/>
      <c r="AC802" s="2521"/>
      <c r="AD802" s="2521"/>
      <c r="AE802" s="2522"/>
      <c r="AF802" s="2520" t="s">
        <v>1571</v>
      </c>
      <c r="AG802" s="2521"/>
      <c r="AH802" s="2521"/>
      <c r="AI802" s="2521"/>
      <c r="AJ802" s="2521"/>
      <c r="AK802" s="2522"/>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3"/>
      <c r="U803" s="2524"/>
      <c r="V803" s="2524"/>
      <c r="W803" s="2524"/>
      <c r="X803" s="2524"/>
      <c r="Y803" s="2525"/>
      <c r="Z803" s="2523"/>
      <c r="AA803" s="2524"/>
      <c r="AB803" s="2524"/>
      <c r="AC803" s="2524"/>
      <c r="AD803" s="2524"/>
      <c r="AE803" s="2525"/>
      <c r="AF803" s="2523"/>
      <c r="AG803" s="2524"/>
      <c r="AH803" s="2524"/>
      <c r="AI803" s="2524"/>
      <c r="AJ803" s="2524"/>
      <c r="AK803" s="2525"/>
      <c r="AL803" s="818"/>
      <c r="AM803" s="596"/>
      <c r="AO803" s="816"/>
      <c r="AP803" s="816"/>
      <c r="AQ803" s="816"/>
    </row>
    <row r="804" spans="1:81" ht="13">
      <c r="A804" s="819" t="s">
        <v>757</v>
      </c>
      <c r="B804" s="2477" t="s">
        <v>1304</v>
      </c>
      <c r="C804" s="2477"/>
      <c r="D804" s="2477"/>
      <c r="E804" s="2477"/>
      <c r="F804" s="2477"/>
      <c r="G804" s="2477"/>
      <c r="H804" s="2477"/>
      <c r="I804" s="2477"/>
      <c r="J804" s="2477"/>
      <c r="K804" s="2477"/>
      <c r="L804" s="2477"/>
      <c r="M804" s="2477"/>
      <c r="N804" s="2477"/>
      <c r="O804" s="2477"/>
      <c r="P804" s="2477"/>
      <c r="Q804" s="2477"/>
      <c r="R804" s="2477"/>
      <c r="S804" s="2478"/>
      <c r="T804" s="2505">
        <f>AK62</f>
        <v>0</v>
      </c>
      <c r="U804" s="2481"/>
      <c r="V804" s="2481"/>
      <c r="W804" s="2481"/>
      <c r="X804" s="2481"/>
      <c r="Y804" s="2482"/>
      <c r="Z804" s="2480">
        <v>20</v>
      </c>
      <c r="AA804" s="2481"/>
      <c r="AB804" s="2481"/>
      <c r="AC804" s="2481"/>
      <c r="AD804" s="2481"/>
      <c r="AE804" s="2482"/>
      <c r="AF804" s="2445">
        <f>IF(T804&gt;Z804,Z804,T804)</f>
        <v>0</v>
      </c>
      <c r="AG804" s="2445"/>
      <c r="AH804" s="2445"/>
      <c r="AI804" s="2445"/>
      <c r="AJ804" s="2445"/>
      <c r="AK804" s="2445"/>
      <c r="AL804" s="818"/>
      <c r="AM804" s="596"/>
      <c r="AO804" s="816"/>
      <c r="AP804" s="816"/>
      <c r="AQ804" s="816"/>
    </row>
    <row r="805" spans="1:81" ht="13">
      <c r="A805" s="819" t="s">
        <v>1541</v>
      </c>
      <c r="B805" s="2477" t="s">
        <v>1313</v>
      </c>
      <c r="C805" s="2477"/>
      <c r="D805" s="2477"/>
      <c r="E805" s="2477"/>
      <c r="F805" s="2477"/>
      <c r="G805" s="2477"/>
      <c r="H805" s="2477"/>
      <c r="I805" s="2477"/>
      <c r="J805" s="2477"/>
      <c r="K805" s="2477"/>
      <c r="L805" s="2477"/>
      <c r="M805" s="2477"/>
      <c r="N805" s="2477"/>
      <c r="O805" s="2477"/>
      <c r="P805" s="2477"/>
      <c r="Q805" s="2477"/>
      <c r="R805" s="2477"/>
      <c r="S805" s="2478"/>
      <c r="T805" s="2505">
        <f>AK84</f>
        <v>10</v>
      </c>
      <c r="U805" s="2481"/>
      <c r="V805" s="2481"/>
      <c r="W805" s="2481"/>
      <c r="X805" s="2481"/>
      <c r="Y805" s="2482"/>
      <c r="Z805" s="2480">
        <v>10</v>
      </c>
      <c r="AA805" s="2481"/>
      <c r="AB805" s="2481"/>
      <c r="AC805" s="2481"/>
      <c r="AD805" s="2481"/>
      <c r="AE805" s="2482"/>
      <c r="AF805" s="2445">
        <f>IF(T805&gt;Z805,Z805,T805)</f>
        <v>10</v>
      </c>
      <c r="AG805" s="2445"/>
      <c r="AH805" s="2445"/>
      <c r="AI805" s="2445"/>
      <c r="AJ805" s="2445"/>
      <c r="AK805" s="2445"/>
      <c r="AL805" s="818"/>
      <c r="AM805" s="596"/>
      <c r="AO805" s="816"/>
      <c r="AP805" s="816"/>
      <c r="AQ805" s="816"/>
    </row>
    <row r="806" spans="1:81" ht="13">
      <c r="A806" s="819" t="s">
        <v>1550</v>
      </c>
      <c r="B806" s="2477" t="s">
        <v>1323</v>
      </c>
      <c r="C806" s="2477"/>
      <c r="D806" s="2477"/>
      <c r="E806" s="2477"/>
      <c r="F806" s="2477"/>
      <c r="G806" s="2477"/>
      <c r="H806" s="2477"/>
      <c r="I806" s="2477"/>
      <c r="J806" s="2477"/>
      <c r="K806" s="2477"/>
      <c r="L806" s="2477"/>
      <c r="M806" s="2477"/>
      <c r="N806" s="2477"/>
      <c r="O806" s="2477"/>
      <c r="P806" s="2477"/>
      <c r="Q806" s="2477"/>
      <c r="R806" s="2477"/>
      <c r="S806" s="2478"/>
      <c r="T806" s="2505">
        <f ca="1">AK109</f>
        <v>20</v>
      </c>
      <c r="U806" s="2481"/>
      <c r="V806" s="2481"/>
      <c r="W806" s="2481"/>
      <c r="X806" s="2481"/>
      <c r="Y806" s="2482"/>
      <c r="Z806" s="2480">
        <v>20</v>
      </c>
      <c r="AA806" s="2481"/>
      <c r="AB806" s="2481"/>
      <c r="AC806" s="2481"/>
      <c r="AD806" s="2481"/>
      <c r="AE806" s="2482"/>
      <c r="AF806" s="2445">
        <f ca="1">IF(T806&gt;Z806,Z806,T806)</f>
        <v>20</v>
      </c>
      <c r="AG806" s="2445"/>
      <c r="AH806" s="2445"/>
      <c r="AI806" s="2445"/>
      <c r="AJ806" s="2445"/>
      <c r="AK806" s="2445"/>
      <c r="AL806" s="818"/>
      <c r="AM806" s="596"/>
      <c r="AO806" s="816"/>
      <c r="AP806" s="816"/>
      <c r="AQ806" s="816"/>
    </row>
    <row r="807" spans="1:81" ht="13">
      <c r="A807" s="819" t="s">
        <v>1572</v>
      </c>
      <c r="B807" s="2477" t="s">
        <v>1333</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8"/>
      <c r="AM807" s="596"/>
      <c r="AO807" s="816"/>
      <c r="AP807" s="816"/>
      <c r="AQ807" s="816"/>
    </row>
    <row r="808" spans="1:81" ht="13">
      <c r="A808" s="820" t="s">
        <v>1573</v>
      </c>
      <c r="B808" s="2477" t="s">
        <v>1574</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8"/>
      <c r="AM808" s="596"/>
    </row>
    <row r="809" spans="1:81" ht="13">
      <c r="A809" s="535"/>
      <c r="B809" s="601"/>
      <c r="C809" s="2483" t="s">
        <v>1575</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8"/>
      <c r="AM809" s="596"/>
    </row>
    <row r="810" spans="1:81" ht="13">
      <c r="A810" s="600"/>
      <c r="B810" s="601"/>
      <c r="C810" s="2483" t="s">
        <v>1576</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8"/>
      <c r="AM810" s="596"/>
      <c r="AO810" s="550"/>
    </row>
    <row r="811" spans="1:81" ht="13">
      <c r="A811" s="820" t="s">
        <v>1361</v>
      </c>
      <c r="B811" s="2477" t="s">
        <v>1577</v>
      </c>
      <c r="C811" s="2477"/>
      <c r="D811" s="2477"/>
      <c r="E811" s="2477"/>
      <c r="F811" s="2477"/>
      <c r="G811" s="2477"/>
      <c r="H811" s="2477"/>
      <c r="I811" s="2477"/>
      <c r="J811" s="2477"/>
      <c r="K811" s="2477"/>
      <c r="L811" s="2477"/>
      <c r="M811" s="2477"/>
      <c r="N811" s="2477"/>
      <c r="O811" s="2477"/>
      <c r="P811" s="2477"/>
      <c r="Q811" s="2477"/>
      <c r="R811" s="2477"/>
      <c r="S811" s="2478"/>
      <c r="T811" s="2479">
        <f>AK191</f>
        <v>10</v>
      </c>
      <c r="U811" s="2479"/>
      <c r="V811" s="2479"/>
      <c r="W811" s="2479"/>
      <c r="X811" s="2479"/>
      <c r="Y811" s="2479"/>
      <c r="Z811" s="2445">
        <v>10</v>
      </c>
      <c r="AA811" s="2445"/>
      <c r="AB811" s="2445"/>
      <c r="AC811" s="2445"/>
      <c r="AD811" s="2445"/>
      <c r="AE811" s="2445"/>
      <c r="AF811" s="2445">
        <f>IF(T811&gt;Z811,Z811,T811)</f>
        <v>10</v>
      </c>
      <c r="AG811" s="2445"/>
      <c r="AH811" s="2445"/>
      <c r="AI811" s="2445"/>
      <c r="AJ811" s="2445"/>
      <c r="AK811" s="2445"/>
      <c r="AL811" s="818"/>
      <c r="AM811" s="596"/>
    </row>
    <row r="812" spans="1:81" ht="13">
      <c r="A812" s="819" t="s">
        <v>1370</v>
      </c>
      <c r="B812" s="2477" t="s">
        <v>1371</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8"/>
      <c r="AM812" s="596"/>
    </row>
    <row r="813" spans="1:81" s="534" customFormat="1" ht="13" hidden="1">
      <c r="A813" s="820" t="s">
        <v>589</v>
      </c>
      <c r="B813" s="2477" t="s">
        <v>1578</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477" t="s">
        <v>1579</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477" t="s">
        <v>1381</v>
      </c>
      <c r="C815" s="2477"/>
      <c r="D815" s="2477"/>
      <c r="E815" s="2477"/>
      <c r="F815" s="2477"/>
      <c r="G815" s="2477"/>
      <c r="H815" s="2477"/>
      <c r="I815" s="2477"/>
      <c r="J815" s="2477"/>
      <c r="K815" s="2477"/>
      <c r="L815" s="2477"/>
      <c r="M815" s="2477"/>
      <c r="N815" s="2477"/>
      <c r="O815" s="2477"/>
      <c r="P815" s="2477"/>
      <c r="Q815" s="2477"/>
      <c r="R815" s="2477"/>
      <c r="S815" s="2478"/>
      <c r="T815" s="2479">
        <f>AK338</f>
        <v>9</v>
      </c>
      <c r="U815" s="2479"/>
      <c r="V815" s="2479"/>
      <c r="W815" s="2479"/>
      <c r="X815" s="2479"/>
      <c r="Y815" s="2479"/>
      <c r="Z815" s="2488">
        <v>10</v>
      </c>
      <c r="AA815" s="2489"/>
      <c r="AB815" s="2489"/>
      <c r="AC815" s="2489"/>
      <c r="AD815" s="2489"/>
      <c r="AE815" s="2490"/>
      <c r="AF815" s="2488">
        <f>IF(T815&gt;Z815,Z815,T815)</f>
        <v>9</v>
      </c>
      <c r="AG815" s="2489"/>
      <c r="AH815" s="2489"/>
      <c r="AI815" s="2489"/>
      <c r="AJ815" s="2489"/>
      <c r="AK815" s="24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5">
        <f>AK338</f>
        <v>9</v>
      </c>
      <c r="U816" s="2485"/>
      <c r="V816" s="2485"/>
      <c r="W816" s="2485"/>
      <c r="X816" s="2485"/>
      <c r="Y816" s="2485"/>
      <c r="Z816" s="2433">
        <v>20</v>
      </c>
      <c r="AA816" s="2434"/>
      <c r="AB816" s="2434"/>
      <c r="AC816" s="2434"/>
      <c r="AD816" s="2434"/>
      <c r="AE816" s="2435"/>
      <c r="AF816" s="2487"/>
      <c r="AG816" s="2487"/>
      <c r="AH816" s="2487"/>
      <c r="AI816" s="2487"/>
      <c r="AJ816" s="2487"/>
      <c r="AK816" s="24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477" t="s">
        <v>845</v>
      </c>
      <c r="C817" s="2477"/>
      <c r="D817" s="2477"/>
      <c r="E817" s="2477"/>
      <c r="F817" s="2477"/>
      <c r="G817" s="2477"/>
      <c r="H817" s="2477"/>
      <c r="I817" s="2477"/>
      <c r="J817" s="2477"/>
      <c r="K817" s="2477"/>
      <c r="L817" s="2477"/>
      <c r="M817" s="2477"/>
      <c r="N817" s="2477"/>
      <c r="O817" s="2477"/>
      <c r="P817" s="2477"/>
      <c r="Q817" s="2477"/>
      <c r="R817" s="2477"/>
      <c r="S817" s="2478"/>
      <c r="T817" s="2479">
        <f>AK469</f>
        <v>10</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477" t="s">
        <v>1559</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7" t="s">
        <v>1581</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1" t="s">
        <v>1582</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1583</v>
      </c>
      <c r="AA820" s="2486"/>
      <c r="AB820" s="2486"/>
      <c r="AC820" s="2486"/>
      <c r="AD820" s="2486"/>
      <c r="AE820" s="2486"/>
      <c r="AF820" s="2488">
        <f>IF(T820&gt;0,T820,0)</f>
        <v>0</v>
      </c>
      <c r="AG820" s="2489"/>
      <c r="AH820" s="2489"/>
      <c r="AI820" s="2489"/>
      <c r="AJ820" s="2489"/>
      <c r="AK820" s="24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3" t="s">
        <v>1584</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 ca="1">SUM(AF804:AK819)-AF820</f>
        <v>119</v>
      </c>
      <c r="AG821" s="2500"/>
      <c r="AH821" s="2500"/>
      <c r="AI821" s="2500"/>
      <c r="AJ821" s="2500"/>
      <c r="AK821" s="25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2025-09-11T20:38:16Z</dcterms:modified>
</cp:coreProperties>
</file>