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PhillipCurls\APG Dropbox\Development\Projects\Current Projects\Queen Apartments\Financing\CDLAC - 2025\Draft\Att40.ExA.ExB\"/>
    </mc:Choice>
  </mc:AlternateContent>
  <xr:revisionPtr revIDLastSave="0" documentId="13_ncr:1_{380BFC93-336A-49D1-AA92-895E1C617887}" xr6:coauthVersionLast="47" xr6:coauthVersionMax="47" xr10:uidLastSave="{00000000-0000-0000-0000-000000000000}"/>
  <bookViews>
    <workbookView xWindow="-108" yWindow="-108" windowWidth="23256" windowHeight="12456"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9" i="4" l="1"/>
  <c r="C58" i="4"/>
  <c r="E79" i="4" l="1"/>
  <c r="C45" i="4"/>
  <c r="C46" i="4"/>
  <c r="G53" i="7" l="1"/>
  <c r="W871" i="3"/>
  <c r="M961" i="3"/>
  <c r="F99" i="4"/>
  <c r="F45" i="4"/>
  <c r="E9" i="4"/>
  <c r="AD67" i="15"/>
  <c r="Y67" i="15"/>
  <c r="BE103" i="3" l="1"/>
  <c r="AC216" i="23"/>
  <c r="Y216" i="23"/>
  <c r="U216" i="23"/>
  <c r="BQ102" i="23"/>
  <c r="BQ101" i="23"/>
  <c r="N11" i="23"/>
  <c r="W879" i="3"/>
  <c r="W855" i="3"/>
  <c r="W847" i="3"/>
  <c r="W862" i="3"/>
  <c r="W872" i="3"/>
  <c r="L44" i="21"/>
  <c r="M44" i="2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R44" i="21" a="1"/>
  <c r="R44" i="21" s="1"/>
  <c r="U45" i="21"/>
  <c r="S45" i="21"/>
  <c r="T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T54" i="21"/>
  <c r="S54" i="21"/>
  <c r="R54" i="21" a="1"/>
  <c r="R54" i="21" s="1"/>
  <c r="S53" i="21"/>
  <c r="U52" i="21"/>
  <c r="P54" i="21" a="1"/>
  <c r="P54" i="21" s="1"/>
  <c r="T52" i="21"/>
  <c r="P46" i="21" a="1"/>
  <c r="P46" i="21" s="1"/>
  <c r="R45" i="21" a="1"/>
  <c r="R45" i="21" s="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AH742" i="3" s="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J17" i="8" s="1"/>
  <c r="A18" i="8"/>
  <c r="D18" i="8"/>
  <c r="I18" i="8" s="1"/>
  <c r="A19" i="8"/>
  <c r="D19" i="8"/>
  <c r="I19" i="8" s="1"/>
  <c r="A20" i="8"/>
  <c r="D20" i="8"/>
  <c r="I20" i="8" s="1"/>
  <c r="J20" i="8" s="1"/>
  <c r="A21" i="8"/>
  <c r="D21" i="8"/>
  <c r="I21" i="8" s="1"/>
  <c r="A22" i="8"/>
  <c r="D22" i="8"/>
  <c r="I22" i="8" s="1"/>
  <c r="A23" i="8"/>
  <c r="D23" i="8"/>
  <c r="I23" i="8" s="1"/>
  <c r="A24" i="8"/>
  <c r="D24" i="8"/>
  <c r="I24" i="8" s="1"/>
  <c r="A25" i="8"/>
  <c r="D25" i="8"/>
  <c r="I25" i="8" s="1"/>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AH741" i="3" s="1"/>
  <c r="M832" i="3"/>
  <c r="Q832" i="3"/>
  <c r="U832" i="3"/>
  <c r="Y832" i="3"/>
  <c r="AC832" i="3"/>
  <c r="AG832" i="3"/>
  <c r="Z902" i="3"/>
  <c r="J18" i="8" l="1"/>
  <c r="J6" i="8"/>
  <c r="J19" i="8"/>
  <c r="J14" i="8"/>
  <c r="J13" i="8"/>
  <c r="J25" i="8"/>
  <c r="J10" i="8"/>
  <c r="J24" i="8"/>
  <c r="J12" i="8"/>
  <c r="J23" i="8"/>
  <c r="J11" i="8"/>
  <c r="J22" i="8"/>
  <c r="D35" i="11"/>
  <c r="J16" i="8"/>
  <c r="J21" i="8"/>
  <c r="J15" i="8"/>
  <c r="J9" i="8"/>
  <c r="J8"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J40" i="8"/>
  <c r="Z809" i="3" s="1"/>
  <c r="E6" i="7"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20" i="21" l="1"/>
  <c r="O44" i="21"/>
  <c r="P44" i="21" s="1" a="1"/>
  <c r="P44" i="21" s="1"/>
  <c r="S44" i="21" s="1"/>
  <c r="O43" i="21"/>
  <c r="P43" i="21" s="1" a="1"/>
  <c r="P43" i="21" s="1"/>
  <c r="S43" i="21" s="1"/>
  <c r="O42" i="21"/>
  <c r="P42" i="21" s="1" a="1"/>
  <c r="P42" i="21" s="1"/>
  <c r="S42" i="21" s="1"/>
  <c r="AZ1048" i="3"/>
  <c r="O21" i="21"/>
  <c r="O23" i="21"/>
  <c r="O31" i="21"/>
  <c r="P31" i="21" s="1" a="1"/>
  <c r="P31" i="21" s="1"/>
  <c r="S31" i="21" s="1"/>
  <c r="O30" i="21"/>
  <c r="P30" i="21" s="1" a="1"/>
  <c r="P30" i="21" s="1"/>
  <c r="S30" i="21" s="1"/>
  <c r="O25" i="21"/>
  <c r="P25" i="21" s="1" a="1"/>
  <c r="P25" i="21" s="1"/>
  <c r="S25" i="21" s="1"/>
  <c r="O40" i="21"/>
  <c r="P40" i="21" s="1" a="1"/>
  <c r="P40" i="21" s="1"/>
  <c r="S40" i="21" s="1"/>
  <c r="O26" i="21"/>
  <c r="P26" i="21" s="1" a="1"/>
  <c r="P26" i="21" s="1"/>
  <c r="S26" i="21" s="1"/>
  <c r="O36" i="21"/>
  <c r="P36" i="21" s="1" a="1"/>
  <c r="P36" i="21" s="1"/>
  <c r="S36" i="21" s="1"/>
  <c r="O32" i="21"/>
  <c r="P32" i="21" s="1" a="1"/>
  <c r="P32" i="21" s="1"/>
  <c r="S32" i="21" s="1"/>
  <c r="O28" i="21"/>
  <c r="P28" i="21" s="1" a="1"/>
  <c r="P28" i="21" s="1"/>
  <c r="S28" i="21" s="1"/>
  <c r="O41" i="21"/>
  <c r="P41" i="21" s="1" a="1"/>
  <c r="P41" i="21" s="1"/>
  <c r="S41" i="21" s="1"/>
  <c r="O27" i="21"/>
  <c r="P27" i="21" s="1" a="1"/>
  <c r="P27" i="21" s="1"/>
  <c r="S27" i="21" s="1"/>
  <c r="O22" i="21"/>
  <c r="P22" i="21" s="1" a="1"/>
  <c r="P22" i="21" s="1"/>
  <c r="S22" i="21" s="1"/>
  <c r="O34" i="21"/>
  <c r="P34" i="21" s="1" a="1"/>
  <c r="P34" i="21" s="1"/>
  <c r="S34" i="21" s="1"/>
  <c r="O39" i="21"/>
  <c r="P39" i="21" s="1" a="1"/>
  <c r="P39" i="21" s="1"/>
  <c r="S39" i="21" s="1"/>
  <c r="O37" i="21"/>
  <c r="P37" i="21" s="1" a="1"/>
  <c r="P37" i="21" s="1"/>
  <c r="S37" i="21" s="1"/>
  <c r="O24" i="21"/>
  <c r="P24" i="21" s="1" a="1"/>
  <c r="P24" i="21" s="1"/>
  <c r="S24" i="21" s="1"/>
  <c r="O29" i="21"/>
  <c r="P29" i="21" s="1" a="1"/>
  <c r="P29" i="21" s="1"/>
  <c r="S29" i="21" s="1"/>
  <c r="O35" i="21"/>
  <c r="P35" i="21" s="1" a="1"/>
  <c r="P35" i="21" s="1"/>
  <c r="S35" i="21" s="1"/>
  <c r="O33" i="21"/>
  <c r="P33" i="21" s="1" a="1"/>
  <c r="P33" i="21" s="1"/>
  <c r="S33" i="21" s="1"/>
  <c r="O38" i="21"/>
  <c r="P38" i="21" s="1" a="1"/>
  <c r="P38" i="21" s="1"/>
  <c r="S38" i="21" s="1"/>
  <c r="D64" i="11"/>
  <c r="B105" i="4"/>
  <c r="BE101" i="3"/>
  <c r="AK84" i="20"/>
  <c r="AK191" i="20" s="1"/>
  <c r="T811" i="20" s="1"/>
  <c r="AF811" i="20" s="1"/>
  <c r="BE76" i="3" s="1"/>
  <c r="D13" i="11"/>
  <c r="B97" i="13"/>
  <c r="B97" i="4"/>
  <c r="AZ1046" i="3"/>
  <c r="S105" i="4"/>
  <c r="E97" i="13"/>
  <c r="B105" i="13"/>
  <c r="AG269" i="20"/>
  <c r="O58" i="7"/>
  <c r="Q53" i="7"/>
  <c r="T105" i="4"/>
  <c r="H97" i="13"/>
  <c r="P23" i="21" a="1"/>
  <c r="P23" i="21" s="1"/>
  <c r="S23" i="21" s="1"/>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66" i="7" s="1"/>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7" i="7"/>
  <c r="Y49" i="7"/>
  <c r="Y45" i="7"/>
  <c r="W60" i="7"/>
  <c r="W66" i="7" s="1"/>
  <c r="W47" i="7"/>
  <c r="W48" i="7"/>
  <c r="AE5" i="7" l="1"/>
  <c r="AG4" i="7"/>
  <c r="AA45" i="7"/>
  <c r="AA49" i="7"/>
  <c r="U70" i="7"/>
  <c r="U72" i="7" s="1"/>
  <c r="W67" i="7"/>
  <c r="Y47" i="7"/>
  <c r="Y48" i="7"/>
  <c r="Y60" i="7"/>
  <c r="Y66" i="7" s="1"/>
  <c r="AE6" i="7"/>
  <c r="AC7" i="7"/>
  <c r="AC11" i="7" s="1"/>
  <c r="AC37" i="7" s="1"/>
  <c r="AG5" i="7" l="1"/>
  <c r="W70" i="7"/>
  <c r="W72" i="7" s="1"/>
  <c r="AA60" i="7"/>
  <c r="AA66" i="7" s="1"/>
  <c r="AA47" i="7"/>
  <c r="AA48" i="7"/>
  <c r="AC45" i="7"/>
  <c r="AC49" i="7"/>
  <c r="AE7" i="7"/>
  <c r="AE11" i="7" s="1"/>
  <c r="AE37" i="7" s="1"/>
  <c r="AG6" i="7"/>
  <c r="Y67" i="7"/>
  <c r="Y70" i="7" l="1"/>
  <c r="Y72" i="7" s="1"/>
  <c r="AG7" i="7"/>
  <c r="AG11" i="7" s="1"/>
  <c r="AG37" i="7" s="1"/>
  <c r="AE49" i="7"/>
  <c r="AE45" i="7"/>
  <c r="AC60" i="7"/>
  <c r="AC66" i="7" s="1"/>
  <c r="AC48" i="7"/>
  <c r="AC47" i="7"/>
  <c r="AA67" i="7"/>
  <c r="AA70" i="7" l="1"/>
  <c r="AA72" i="7" s="1"/>
  <c r="AC67" i="7"/>
  <c r="AE47" i="7"/>
  <c r="AE60" i="7"/>
  <c r="AE66" i="7" s="1"/>
  <c r="AE48" i="7"/>
  <c r="AG49" i="7"/>
  <c r="AG45" i="7"/>
  <c r="AG48" i="7" l="1"/>
  <c r="AG60" i="7"/>
  <c r="AG66" i="7" s="1"/>
  <c r="AG47" i="7"/>
  <c r="AE67" i="7"/>
  <c r="AC70" i="7"/>
  <c r="AC72" i="7" s="1"/>
  <c r="AE70" i="7" l="1"/>
  <c r="AE72" i="7" s="1"/>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3D44128F-F44E-46A5-A6F5-BBA3FC366FA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<sst xmlns="http://schemas.openxmlformats.org/spreadsheetml/2006/main" count="5049" uniqueCount="2736">
  <si>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</si>
  <si>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</si>
  <si>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</si>
  <si>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</si>
  <si>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</si>
  <si>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</si>
  <si>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</si>
  <si>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</si>
  <si>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</si>
  <si>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</si>
  <si>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</si>
  <si>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</si>
  <si>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</si>
  <si>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</si>
  <si>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</si>
  <si>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</si>
  <si>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</si>
  <si>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</si>
  <si>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</si>
  <si>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</si>
  <si>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</si>
  <si>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</si>
  <si>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</si>
  <si>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</si>
  <si>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</si>
  <si>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</si>
  <si>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</si>
  <si>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</si>
  <si>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</si>
  <si>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</si>
  <si>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</si>
  <si>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</si>
  <si>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</si>
  <si>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</si>
  <si>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</si>
  <si>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</si>
  <si>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</si>
  <si>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</si>
  <si>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</si>
  <si>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</si>
  <si>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</si>
  <si>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</si>
  <si>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</si>
  <si>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</si>
  <si>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</si>
  <si>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</si>
  <si>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</si>
  <si>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</si>
  <si>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</si>
  <si>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</si>
  <si>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</si>
  <si>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</si>
  <si>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</si>
  <si>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</si>
  <si>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</si>
  <si>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</si>
  <si>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</si>
  <si>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</si>
  <si>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</si>
  <si>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</si>
  <si>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</si>
  <si>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</si>
  <si>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</si>
  <si>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</si>
  <si>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</si>
  <si>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</si>
  <si>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</si>
  <si>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</si>
  <si>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</si>
  <si>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</si>
  <si>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</si>
  <si>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</si>
  <si>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</si>
  <si>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</si>
  <si>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</si>
  <si>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</si>
  <si>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</si>
  <si>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</si>
  <si>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</si>
  <si>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</si>
  <si>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</si>
  <si>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</si>
  <si>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</si>
  <si>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</si>
  <si>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</si>
  <si>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</si>
  <si>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</si>
  <si>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</si>
  <si>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</si>
  <si>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</si>
  <si>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</si>
  <si>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</si>
  <si>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</si>
  <si>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</si>
  <si>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</si>
  <si>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</si>
  <si>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</si>
  <si>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</si>
  <si>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</si>
  <si>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</si>
  <si>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</si>
  <si>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</si>
  <si>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</si>
  <si>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</si>
  <si>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</si>
  <si>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</si>
  <si>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</si>
  <si>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</si>
  <si>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</si>
  <si>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</si>
  <si>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</si>
  <si>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</si>
  <si>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</si>
  <si>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</si>
  <si>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</si>
  <si>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</si>
  <si>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</si>
  <si>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</si>
  <si>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</si>
  <si>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</si>
  <si>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</si>
  <si>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</si>
  <si>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</si>
  <si>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</si>
  <si>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</si>
  <si>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</si>
  <si>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</si>
  <si>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</si>
  <si>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</si>
  <si>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</si>
  <si>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</si>
  <si>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</si>
  <si>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</si>
  <si>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</si>
  <si>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</si>
  <si>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</si>
  <si>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</si>
  <si>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</si>
  <si>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</si>
  <si>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</si>
  <si>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</si>
  <si>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</si>
  <si>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</si>
  <si>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</si>
  <si>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</si>
  <si>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</si>
  <si>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</si>
  <si>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</si>
  <si>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</si>
  <si>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</si>
  <si>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</si>
  <si>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</si>
  <si>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</si>
  <si>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</si>
  <si>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</si>
  <si>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</si>
  <si>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</si>
  <si>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</si>
  <si>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</si>
  <si>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</si>
  <si>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</si>
  <si>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</si>
  <si>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</si>
  <si>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</si>
  <si>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</si>
  <si>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</si>
  <si>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</si>
  <si>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</si>
  <si>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</si>
  <si>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</si>
  <si>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</si>
  <si>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</si>
  <si>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</si>
  <si>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</si>
  <si>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</si>
  <si>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</si>
  <si>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</si>
  <si>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</si>
  <si>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</si>
  <si>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</si>
  <si>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</si>
  <si>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</si>
  <si>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</si>
  <si>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</si>
  <si>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</si>
  <si>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</si>
  <si>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</si>
  <si>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</si>
  <si>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</si>
  <si>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</si>
  <si>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</si>
  <si>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</si>
  <si>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</si>
  <si>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</si>
  <si>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</si>
  <si>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</si>
  <si>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</si>
  <si>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</si>
  <si>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</si>
  <si>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</si>
  <si>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</si>
  <si>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</si>
  <si>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</si>
  <si>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</si>
  <si>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</si>
  <si>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</si>
  <si>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</si>
  <si>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</si>
  <si>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</si>
  <si>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</si>
  <si>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</si>
  <si>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</si>
  <si>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</si>
  <si>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</si>
  <si>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</si>
  <si>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</si>
  <si>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</si>
  <si>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</si>
  <si>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</si>
  <si>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</si>
  <si>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</si>
  <si>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</si>
  <si>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</si>
  <si>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</si>
  <si>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</si>
  <si>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</si>
  <si>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</si>
  <si>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</si>
  <si>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</si>
  <si>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</si>
  <si>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</si>
  <si>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</si>
  <si>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</si>
  <si>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</si>
  <si>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</si>
  <si>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</si>
  <si>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</si>
  <si>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</si>
  <si>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</si>
  <si>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</si>
  <si>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</si>
  <si>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</si>
  <si>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</si>
  <si>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</si>
  <si>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</si>
  <si>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</si>
  <si>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</si>
  <si>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</si>
  <si>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</si>
  <si>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</si>
  <si>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</si>
  <si>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</si>
  <si>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</si>
  <si>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</si>
  <si>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</si>
  <si>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</si>
  <si>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</si>
  <si>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</si>
  <si>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</si>
  <si>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</si>
  <si>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</si>
  <si>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</si>
  <si>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</si>
  <si>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</si>
  <si>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</si>
  <si>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</si>
  <si>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</si>
  <si>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</si>
  <si>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</si>
  <si>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</si>
  <si>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</si>
  <si>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</si>
  <si>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</si>
  <si>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</si>
  <si>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</si>
  <si>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</si>
  <si>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</si>
  <si>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</si>
  <si>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</si>
  <si>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</si>
  <si>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</si>
  <si>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</si>
  <si>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</si>
  <si>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</si>
  <si>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</si>
  <si>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</si>
  <si>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</si>
  <si>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</si>
  <si>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</si>
  <si>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</si>
  <si>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</si>
  <si>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</si>
  <si>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</si>
  <si>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</si>
  <si>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</si>
  <si>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</si>
  <si>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</si>
  <si>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</si>
  <si>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</si>
  <si>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</si>
  <si>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</si>
  <si>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</si>
  <si>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</si>
  <si>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</si>
  <si>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</si>
  <si>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</si>
  <si>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</si>
  <si>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</si>
  <si>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</si>
  <si>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</si>
  <si>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</si>
  <si>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</si>
  <si>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</si>
  <si>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</si>
  <si>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</si>
  <si>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</si>
  <si>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</si>
  <si>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</si>
  <si>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</si>
  <si>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</si>
  <si>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</si>
  <si>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</si>
  <si>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</si>
  <si>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</si>
  <si>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</si>
  <si>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</si>
  <si>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</si>
  <si>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</si>
  <si>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</si>
  <si>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</si>
  <si>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</si>
  <si>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</si>
  <si>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</si>
  <si>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</si>
  <si>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</si>
  <si>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</si>
  <si>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</si>
  <si>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</si>
  <si>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</si>
  <si>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</si>
  <si>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</si>
  <si>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</si>
  <si>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</si>
  <si>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</si>
  <si>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</si>
  <si>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</si>
  <si>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</si>
  <si>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</si>
  <si>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</si>
  <si>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</si>
  <si>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</si>
  <si>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</si>
  <si>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</si>
  <si>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</si>
  <si>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</si>
  <si>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</si>
  <si>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</si>
  <si>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</si>
  <si>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</si>
  <si>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</si>
  <si>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</si>
  <si>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</si>
  <si>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</si>
  <si>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</si>
  <si>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</si>
  <si>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</si>
  <si>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</si>
  <si>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</si>
  <si>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</si>
  <si>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</si>
  <si>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</si>
  <si>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</si>
  <si>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</si>
  <si>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</si>
  <si>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</si>
  <si>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</si>
  <si>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</si>
  <si>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</si>
  <si>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</si>
  <si>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</si>
  <si>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</si>
  <si>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</si>
  <si>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</si>
  <si>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</si>
  <si>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</si>
  <si>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</si>
  <si>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</si>
  <si>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</si>
  <si>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</si>
  <si>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</si>
  <si>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</si>
  <si>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</si>
  <si>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</si>
  <si>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</si>
  <si>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</si>
  <si>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</si>
  <si>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</si>
  <si>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</si>
  <si>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</si>
  <si>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</si>
  <si>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</si>
  <si>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</si>
  <si>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</si>
  <si>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</si>
  <si>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</si>
  <si>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</si>
  <si>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</si>
  <si>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</si>
  <si>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</si>
  <si>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</si>
  <si>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</si>
  <si>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</si>
  <si>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</si>
  <si>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</si>
  <si>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</si>
  <si>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</si>
  <si>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</si>
  <si>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</si>
  <si>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</si>
  <si>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</si>
  <si>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</si>
  <si>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</si>
  <si>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</si>
  <si>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</si>
  <si>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</si>
  <si>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</si>
  <si>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</si>
  <si>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</si>
  <si>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</si>
  <si>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</si>
  <si>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</si>
  <si>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</si>
  <si>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</si>
  <si>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</si>
  <si>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</si>
  <si>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</si>
  <si>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</si>
  <si>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</si>
  <si>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</si>
  <si>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</si>
  <si>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</si>
  <si>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</si>
  <si>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</si>
  <si>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</si>
  <si>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</si>
  <si>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</si>
  <si>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</si>
  <si>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</si>
  <si>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</si>
  <si>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</si>
  <si>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</si>
  <si>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</si>
  <si>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</si>
  <si>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</si>
  <si>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</si>
  <si>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</si>
  <si>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</si>
  <si>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</si>
  <si>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</si>
  <si>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</si>
  <si>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</si>
  <si>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</si>
  <si>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</si>
  <si>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</si>
  <si>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</si>
  <si>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</si>
  <si>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</si>
  <si>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</si>
  <si>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</si>
  <si>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</si>
  <si>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</si>
  <si>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</si>
  <si>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</si>
  <si>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</si>
  <si>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</si>
  <si>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</si>
  <si>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</si>
  <si>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</si>
  <si>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</si>
  <si>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</si>
  <si>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</si>
  <si>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</si>
  <si>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</si>
  <si>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</si>
  <si>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</si>
  <si>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</si>
  <si>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</si>
  <si>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</si>
  <si>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</si>
  <si>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</si>
  <si>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</si>
  <si>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</si>
  <si>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</si>
  <si>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</si>
  <si>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</si>
  <si>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</si>
  <si>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</si>
  <si>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</si>
  <si>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</si>
  <si>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</si>
  <si>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</si>
  <si>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</si>
  <si>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</si>
  <si>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</si>
  <si>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</si>
  <si>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</si>
  <si>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</si>
  <si>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</si>
  <si>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</si>
  <si>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</si>
  <si>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</si>
  <si>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</si>
  <si>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</si>
  <si>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</si>
  <si>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</si>
  <si>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</si>
  <si>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</si>
  <si>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</si>
  <si>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</si>
  <si>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</si>
  <si>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</si>
  <si>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</si>
  <si>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</si>
  <si>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</si>
  <si>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</si>
  <si>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</si>
  <si>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</si>
  <si>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</si>
  <si>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</si>
  <si>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</si>
  <si>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</si>
  <si>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</si>
  <si>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</si>
  <si>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</si>
  <si>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</si>
  <si>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</si>
  <si>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</si>
  <si>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</si>
  <si>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</si>
  <si>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</si>
  <si>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</si>
  <si>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</si>
  <si>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</si>
  <si>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</si>
  <si>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</si>
  <si>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</si>
  <si>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</si>
  <si>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</si>
  <si>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</si>
  <si>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</si>
  <si>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</si>
  <si>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</si>
  <si>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</si>
  <si>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</si>
  <si>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</si>
  <si>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</si>
  <si>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</si>
  <si>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</si>
  <si>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</si>
  <si>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</si>
  <si>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</si>
  <si>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</si>
  <si>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</si>
  <si>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</si>
  <si>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</si>
  <si>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</si>
  <si>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</si>
  <si>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</si>
  <si>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</si>
  <si>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</si>
  <si>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</si>
  <si>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</si>
  <si>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</si>
  <si>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</si>
  <si>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</si>
  <si>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</si>
  <si>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</si>
  <si>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</si>
  <si>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</si>
  <si>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</si>
  <si>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</si>
  <si>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</si>
  <si>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</si>
  <si>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</si>
  <si>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</si>
  <si>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</si>
  <si>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</si>
  <si>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</si>
  <si>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</si>
  <si>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</si>
  <si>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</si>
  <si>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</si>
  <si>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</si>
  <si>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</si>
  <si>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</si>
  <si>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</si>
  <si>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</si>
  <si>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</si>
  <si>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</si>
  <si>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</si>
  <si>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</si>
  <si>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</si>
  <si>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</si>
  <si>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</si>
  <si>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</si>
  <si>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</si>
  <si>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</si>
  <si>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</si>
  <si>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</si>
  <si>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</si>
  <si>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</si>
  <si>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</si>
  <si>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</si>
  <si>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</si>
  <si>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</si>
  <si>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</si>
  <si>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</si>
  <si>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</si>
  <si>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</si>
  <si>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</si>
  <si>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</si>
  <si>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</si>
  <si>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</si>
  <si>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</si>
  <si>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</si>
  <si>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</si>
  <si>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</si>
  <si>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</si>
  <si>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</si>
  <si>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</si>
  <si>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</si>
  <si>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</si>
  <si>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</si>
  <si>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</si>
  <si>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</si>
  <si>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</si>
  <si>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</si>
  <si>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</si>
  <si>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</si>
  <si>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</si>
  <si>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</si>
  <si>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</si>
  <si>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</si>
  <si>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</si>
  <si>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</si>
  <si>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</si>
  <si>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</si>
  <si>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</si>
  <si>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</si>
  <si>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</si>
  <si>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</si>
  <si>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</si>
  <si>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</si>
  <si>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</si>
  <si>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</si>
  <si>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</si>
  <si>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</si>
  <si>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</si>
  <si>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</si>
  <si>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</si>
  <si>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</si>
  <si>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</si>
  <si>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</si>
  <si>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</si>
  <si>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</si>
  <si>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</si>
  <si>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</si>
  <si>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</si>
  <si>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</si>
  <si>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</si>
  <si>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</si>
  <si>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</si>
  <si>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</si>
  <si>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</si>
  <si>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</si>
  <si>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</si>
  <si>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</si>
  <si>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</si>
  <si>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</si>
  <si>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</si>
  <si>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</si>
  <si>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</si>
  <si>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</si>
  <si>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</si>
  <si>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</si>
  <si>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</si>
  <si>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</si>
  <si>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</si>
  <si>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</si>
  <si>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</si>
  <si>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</si>
  <si>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</si>
  <si>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</si>
  <si>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</si>
  <si>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</si>
  <si>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</si>
  <si>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</si>
  <si>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</si>
  <si>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</si>
  <si>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</si>
  <si>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</si>
  <si>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</si>
  <si>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</si>
  <si>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</si>
  <si>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</si>
  <si>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</si>
  <si>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</si>
  <si>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</si>
  <si>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</si>
  <si>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</si>
  <si>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</si>
  <si>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</si>
  <si>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</si>
  <si>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</si>
  <si>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</si>
  <si>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</si>
  <si>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</si>
  <si>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</si>
  <si>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</si>
  <si>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</si>
  <si>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</si>
  <si>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</si>
  <si>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</si>
  <si>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</si>
  <si>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</si>
  <si>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</si>
  <si>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</si>
  <si>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</si>
  <si>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</si>
  <si>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</si>
  <si>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</si>
  <si>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</si>
  <si>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</si>
  <si>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</si>
  <si>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</si>
  <si>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</si>
  <si>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</si>
  <si>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</si>
  <si>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</si>
  <si>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</si>
  <si>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</si>
  <si>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</si>
  <si>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</si>
  <si>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</si>
  <si>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</si>
  <si>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</si>
  <si>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</si>
  <si>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</si>
  <si>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</si>
  <si>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</si>
  <si>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</si>
  <si>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</si>
  <si>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</si>
  <si>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</si>
  <si>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</si>
  <si>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</si>
  <si>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</si>
  <si>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</si>
  <si>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</si>
  <si>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</si>
  <si>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</si>
  <si>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</si>
  <si>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</si>
  <si>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</si>
  <si>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</si>
  <si>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</si>
  <si>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</si>
  <si>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</si>
  <si>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</si>
  <si>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</si>
  <si>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</si>
  <si>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</si>
  <si>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</si>
  <si>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</si>
  <si>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</si>
  <si>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</si>
  <si>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</si>
  <si>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</si>
  <si>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</si>
  <si>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</si>
  <si>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</si>
  <si>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</si>
  <si>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</si>
  <si>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</si>
  <si>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</si>
  <si>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</si>
  <si>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</si>
  <si>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</si>
  <si>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</si>
  <si>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</si>
  <si>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</si>
  <si>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</si>
  <si>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</si>
  <si>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</si>
  <si>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</si>
  <si>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</si>
  <si>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</si>
  <si>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</si>
  <si>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</si>
  <si>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</si>
  <si>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</si>
  <si>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</si>
  <si>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</si>
  <si>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</si>
  <si>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</si>
  <si>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</si>
  <si>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</si>
  <si>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</si>
  <si>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</si>
  <si>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</si>
  <si>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</si>
  <si>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</si>
  <si>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</si>
  <si>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</si>
  <si>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</si>
  <si>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</si>
  <si>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</si>
  <si>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</si>
  <si>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</si>
  <si>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</si>
  <si>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</si>
  <si>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</si>
  <si>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</si>
  <si>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</si>
  <si>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</si>
  <si>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</si>
  <si>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</si>
  <si>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</si>
  <si>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</si>
  <si>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</si>
  <si>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</si>
  <si>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</si>
  <si>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</si>
  <si>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</si>
  <si>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</si>
  <si>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</si>
  <si>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</si>
  <si>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</si>
  <si>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</si>
  <si>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</si>
  <si>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</si>
  <si>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</si>
  <si>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</si>
  <si>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</si>
  <si>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</si>
  <si>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</si>
  <si>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</si>
  <si>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</si>
  <si>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</si>
  <si>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</si>
  <si>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</si>
  <si>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</si>
  <si>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</si>
  <si>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</si>
  <si>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</si>
  <si>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</si>
  <si>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</si>
  <si>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</si>
  <si>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</si>
  <si>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</si>
  <si>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</si>
  <si>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</si>
  <si>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</si>
  <si>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</si>
  <si>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</si>
  <si>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</si>
  <si>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</si>
  <si>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</si>
  <si>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</si>
  <si>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</si>
  <si>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</si>
  <si>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</si>
  <si>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</si>
  <si>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</si>
  <si>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</si>
  <si>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</si>
  <si>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</si>
  <si>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</si>
  <si>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</si>
  <si>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</si>
  <si>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</si>
  <si>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</si>
  <si>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</si>
  <si>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</si>
  <si>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</si>
  <si>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</si>
  <si>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</si>
  <si>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</si>
  <si>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</si>
  <si>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</si>
  <si>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</si>
  <si>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</si>
  <si>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</si>
  <si>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</si>
  <si>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</si>
  <si>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</si>
  <si>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</si>
  <si>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</si>
  <si>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</si>
  <si>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</si>
  <si>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</si>
  <si>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</si>
  <si>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</si>
  <si>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</si>
  <si>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</si>
  <si>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</si>
  <si>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</si>
  <si>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</si>
  <si>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</si>
  <si>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</si>
  <si>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</si>
  <si>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</si>
  <si>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</si>
  <si>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</si>
  <si>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</si>
  <si>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</si>
  <si>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</si>
  <si>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</si>
  <si>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</si>
  <si>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</si>
  <si>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</si>
  <si>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</si>
  <si>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</si>
  <si>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</si>
  <si>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</si>
  <si>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</si>
  <si>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</si>
  <si>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</si>
  <si>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</si>
  <si>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</si>
  <si>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</si>
  <si>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</si>
  <si>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</si>
  <si>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</si>
  <si>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</si>
  <si>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</si>
  <si>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</si>
  <si>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</si>
  <si>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</si>
  <si>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</si>
  <si>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</si>
  <si>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</si>
  <si>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</si>
  <si>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</si>
  <si>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</si>
  <si>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</si>
  <si>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</si>
  <si>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</si>
  <si>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</si>
  <si>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</si>
  <si>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</si>
  <si>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</si>
  <si>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</si>
  <si>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</si>
  <si>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</si>
  <si>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</si>
  <si>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</si>
  <si>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</si>
  <si>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</si>
  <si>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</si>
  <si>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</si>
  <si>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</si>
  <si>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</si>
  <si>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</si>
  <si>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</si>
  <si>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</si>
  <si>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</si>
  <si>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</si>
  <si>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</si>
  <si>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</si>
  <si>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</si>
  <si>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</si>
  <si>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</si>
  <si>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</si>
  <si>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</si>
  <si>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</si>
  <si>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</si>
  <si>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</si>
  <si>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</si>
  <si>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</si>
  <si>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</si>
  <si>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</si>
  <si>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</si>
  <si>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</si>
  <si>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</si>
  <si>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</si>
  <si>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</si>
  <si>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</si>
  <si>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</si>
  <si>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</si>
  <si>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</si>
  <si>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</si>
  <si>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</si>
  <si>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</si>
  <si>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</si>
  <si>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</si>
  <si>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</si>
  <si>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</si>
  <si>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</si>
  <si>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</si>
  <si>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</si>
  <si>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</si>
  <si>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</si>
  <si>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</si>
  <si>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</si>
  <si>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</si>
  <si>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</si>
  <si>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</si>
  <si>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</si>
  <si>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</si>
  <si>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</si>
  <si>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</si>
  <si>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</si>
  <si>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</si>
  <si>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</si>
  <si>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</si>
  <si>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</si>
  <si>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</si>
  <si>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</si>
  <si>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</si>
  <si>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</si>
  <si>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</si>
  <si>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</si>
  <si>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</si>
  <si>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</si>
  <si>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</si>
  <si>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</si>
  <si>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</si>
  <si>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</si>
  <si>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</si>
  <si>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</si>
  <si>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</si>
  <si>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</si>
  <si>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</si>
  <si>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</si>
  <si>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</si>
  <si>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</si>
  <si>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</si>
  <si>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</si>
  <si>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</si>
  <si>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</si>
  <si>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</si>
  <si>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</si>
  <si>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</si>
  <si>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</si>
  <si>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</si>
  <si>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</si>
  <si>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</si>
  <si>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</si>
  <si>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</si>
  <si>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</si>
  <si>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</si>
  <si>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</si>
  <si>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</si>
  <si>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</si>
  <si>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</si>
  <si>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</si>
  <si>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</si>
  <si>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</si>
  <si>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</si>
  <si>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</si>
  <si>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</si>
  <si>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</si>
  <si>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</si>
  <si>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</si>
  <si>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</si>
  <si>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</si>
  <si>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</si>
  <si>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</si>
  <si>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</si>
  <si>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</si>
  <si>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</si>
  <si>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</si>
  <si>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</si>
  <si>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</si>
  <si>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</si>
  <si>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</si>
  <si>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</si>
  <si>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</si>
  <si>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</si>
  <si>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</si>
  <si>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</si>
  <si>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</si>
  <si>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</si>
  <si>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</si>
  <si>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</si>
  <si>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</si>
  <si>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</si>
  <si>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</si>
  <si>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</si>
  <si>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</si>
  <si>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</si>
  <si>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</si>
  <si>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</si>
  <si>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</si>
  <si>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</si>
  <si>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</si>
  <si>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</si>
  <si>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</si>
  <si>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</si>
  <si>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</si>
  <si>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</si>
  <si>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</si>
  <si>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</si>
  <si>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</si>
  <si>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</si>
  <si>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</si>
  <si>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</si>
  <si>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</si>
  <si>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</si>
  <si>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</si>
  <si>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</si>
  <si>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</si>
  <si>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</si>
  <si>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</si>
  <si>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</si>
  <si>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</si>
  <si>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</si>
  <si>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</si>
  <si>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</si>
  <si>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</si>
  <si>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</si>
  <si>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</si>
  <si>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</si>
  <si>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</si>
  <si>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</si>
  <si>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</si>
  <si>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</si>
  <si>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</si>
  <si>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</si>
  <si>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</si>
  <si>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</si>
  <si>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</si>
  <si>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</si>
  <si>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</si>
  <si>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</si>
  <si>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</si>
  <si>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</si>
  <si>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</si>
  <si>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</si>
  <si>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</si>
  <si>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</si>
  <si>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</si>
  <si>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</si>
  <si>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</si>
  <si>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</si>
  <si>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</si>
  <si>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</si>
  <si>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</si>
  <si>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</si>
  <si>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</si>
  <si>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</si>
  <si>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</si>
  <si>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</si>
  <si>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</si>
  <si>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</si>
  <si>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</si>
  <si>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</si>
  <si>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</si>
  <si>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</si>
  <si>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</si>
  <si>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</si>
  <si>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</si>
  <si>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</si>
  <si>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</si>
  <si>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</si>
  <si>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</si>
  <si>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</si>
  <si>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</si>
  <si>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</si>
  <si>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</si>
  <si>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</si>
  <si>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</si>
  <si>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</si>
  <si>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</si>
  <si>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</si>
  <si>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</si>
  <si>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</si>
  <si>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</si>
  <si>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</si>
  <si>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</si>
  <si>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</si>
  <si>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</si>
  <si>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</si>
  <si>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</si>
  <si>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</si>
  <si>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</si>
  <si>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</si>
  <si>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</si>
  <si>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</si>
  <si>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</si>
  <si>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</si>
  <si>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</si>
  <si>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</si>
  <si>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</si>
  <si>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</si>
  <si>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</si>
  <si>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</si>
  <si>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</si>
  <si>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</si>
  <si>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</si>
  <si>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</si>
  <si>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</si>
  <si>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</si>
  <si>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</si>
  <si>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</si>
  <si>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</si>
  <si>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</si>
  <si>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</si>
  <si>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</si>
  <si>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</si>
  <si>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</si>
  <si>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</si>
  <si>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</si>
  <si>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</si>
  <si>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</si>
  <si>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</si>
  <si>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</si>
  <si>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</si>
  <si>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</si>
  <si>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</si>
  <si>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</si>
  <si>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</si>
  <si>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</si>
  <si>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</si>
  <si>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</si>
  <si>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</si>
  <si>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</si>
  <si>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</si>
  <si>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</si>
  <si>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</si>
  <si>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</si>
  <si>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</si>
  <si>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</si>
  <si>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</si>
  <si>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</si>
  <si>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</si>
  <si>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</si>
  <si>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</si>
  <si>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</si>
  <si>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</si>
  <si>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</si>
  <si>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</si>
  <si>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</si>
  <si>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</si>
  <si>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</si>
  <si>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</si>
  <si>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</si>
  <si>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</si>
  <si>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</si>
  <si>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</si>
  <si>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</si>
  <si>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</si>
  <si>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</si>
  <si>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</si>
  <si>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</si>
  <si>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</si>
  <si>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</si>
  <si>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</si>
  <si>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</si>
  <si>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</si>
  <si>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</si>
  <si>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</si>
  <si>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</si>
  <si>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</si>
  <si>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</si>
  <si>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</si>
  <si>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</si>
  <si>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</si>
  <si>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</si>
  <si>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</si>
  <si>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</si>
  <si>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</si>
  <si>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</si>
  <si>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</si>
  <si>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</si>
  <si>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</si>
  <si>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</si>
  <si>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</si>
  <si>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</si>
  <si>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</si>
  <si>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</si>
  <si>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</si>
  <si>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</si>
  <si>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</si>
  <si>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</si>
  <si>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</si>
  <si>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</si>
  <si>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</si>
  <si>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</si>
  <si>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</si>
  <si>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</si>
  <si>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</si>
  <si>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</si>
  <si>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</si>
  <si>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</si>
  <si>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</si>
  <si>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</si>
  <si>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</si>
  <si>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</si>
  <si>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</si>
  <si>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</si>
  <si>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</si>
  <si>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</si>
  <si>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</si>
  <si>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</si>
  <si>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</si>
  <si>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</si>
  <si>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</si>
  <si>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</si>
  <si>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</si>
  <si>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</si>
  <si>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</si>
  <si>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</si>
  <si>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</si>
  <si>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</si>
  <si>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</si>
  <si>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</si>
  <si>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</si>
  <si>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</si>
  <si>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</si>
  <si>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</si>
  <si>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</si>
  <si>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</si>
  <si>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</si>
  <si>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</si>
  <si>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</si>
  <si>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</si>
  <si>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</si>
  <si>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</si>
  <si>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</si>
  <si>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</si>
  <si>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</si>
  <si>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</si>
  <si>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</si>
  <si>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</si>
  <si>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</si>
  <si>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</si>
  <si>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</si>
  <si>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</si>
  <si>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</si>
  <si>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</si>
  <si>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</si>
  <si>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</si>
  <si>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</si>
  <si>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</si>
  <si>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</si>
  <si>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</si>
  <si>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</si>
  <si>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</si>
  <si>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</si>
  <si>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</si>
  <si>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</si>
  <si>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</si>
  <si>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</si>
  <si>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</si>
  <si>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</si>
  <si>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</si>
  <si>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</si>
  <si>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</si>
  <si>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</si>
  <si>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</si>
  <si>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</si>
  <si>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</si>
  <si>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</si>
  <si>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</si>
  <si>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</si>
  <si>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</si>
  <si>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</si>
  <si>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</si>
  <si>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</si>
  <si>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</si>
  <si>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</si>
  <si>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</si>
  <si>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</si>
  <si>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</si>
  <si>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</si>
  <si>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</si>
  <si>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</si>
  <si>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</si>
  <si>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</si>
  <si>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</si>
  <si>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</si>
  <si>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</si>
  <si>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</si>
  <si>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</si>
  <si>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</si>
  <si>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</si>
  <si>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</si>
  <si>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</si>
  <si>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</si>
  <si>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</si>
  <si>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</si>
  <si>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</si>
  <si>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</si>
  <si>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</si>
  <si>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</si>
  <si>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</si>
  <si>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</si>
  <si>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</si>
  <si>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</si>
  <si>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</si>
  <si>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</si>
  <si>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</si>
  <si>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</si>
  <si>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</si>
  <si>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</si>
  <si>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</si>
  <si>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</si>
  <si>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</si>
  <si>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</si>
  <si>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</si>
  <si>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</si>
  <si>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</si>
  <si>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</si>
  <si>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</si>
  <si>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</si>
  <si>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</si>
  <si>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</si>
  <si>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</si>
  <si>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</si>
  <si>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</si>
  <si>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</si>
  <si>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</si>
  <si>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</si>
  <si>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</si>
  <si>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</si>
  <si>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</si>
  <si>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</si>
  <si>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</si>
  <si>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</si>
  <si>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</si>
  <si>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</si>
  <si>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</si>
  <si>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</si>
  <si>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</si>
  <si>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</si>
  <si>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</si>
  <si>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</si>
  <si>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</si>
  <si>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</si>
  <si>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</si>
  <si>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</si>
  <si>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</si>
  <si>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</si>
  <si>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</si>
  <si>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</si>
  <si>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</si>
  <si>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</si>
  <si>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</si>
  <si>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</si>
  <si>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</si>
  <si>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</si>
  <si>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</si>
  <si>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</si>
  <si>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</si>
  <si>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</si>
  <si>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</si>
  <si>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</si>
  <si>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</si>
  <si>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</si>
  <si>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</si>
  <si>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</si>
  <si>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</si>
  <si>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</si>
  <si>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</si>
  <si>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</si>
  <si>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</si>
  <si>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</si>
  <si>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</si>
  <si>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</si>
  <si>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</si>
  <si>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</si>
  <si>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</si>
  <si>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</si>
  <si>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</si>
  <si>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</si>
  <si>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</si>
  <si>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</si>
  <si>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</si>
  <si>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</si>
  <si>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</si>
  <si>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</si>
  <si>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</si>
  <si>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</si>
  <si>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</si>
  <si>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</si>
  <si>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</si>
  <si>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</si>
  <si>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</si>
  <si>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</si>
  <si>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</si>
  <si>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</si>
  <si>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</si>
  <si>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</si>
  <si>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</si>
  <si>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</si>
  <si>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</si>
  <si>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</si>
  <si>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</si>
  <si>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</si>
  <si>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</si>
  <si>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</si>
  <si>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</si>
  <si>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</si>
  <si>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</si>
  <si>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</si>
  <si>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</si>
  <si>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</si>
  <si>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</si>
  <si>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</si>
  <si>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</si>
  <si>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</si>
  <si>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</si>
  <si>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</si>
  <si>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</si>
  <si>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</si>
  <si>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</si>
  <si>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</si>
  <si>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</si>
  <si>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</si>
  <si>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</si>
  <si>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</si>
  <si>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</si>
  <si>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</si>
  <si>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</si>
  <si>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</si>
  <si>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</si>
  <si>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</si>
  <si>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</si>
  <si>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</si>
  <si>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</si>
  <si>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</si>
  <si>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</si>
  <si>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</si>
  <si>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</si>
  <si>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</si>
  <si>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</si>
  <si>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</si>
  <si>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</si>
  <si>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</si>
  <si>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</si>
  <si>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</si>
  <si>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</si>
  <si>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</si>
  <si>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</si>
  <si>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</si>
  <si>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</si>
  <si>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</si>
  <si>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</si>
  <si>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</si>
  <si>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</si>
  <si>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</si>
  <si>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</si>
  <si>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</si>
  <si>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</si>
  <si>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</si>
  <si>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</si>
  <si>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</si>
  <si>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</si>
  <si>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</si>
  <si>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</si>
  <si>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</si>
  <si>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</si>
  <si>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</si>
  <si>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</si>
  <si>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</si>
  <si>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</si>
  <si>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</si>
  <si>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</si>
  <si>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</si>
  <si>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</si>
  <si>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</si>
  <si>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</si>
  <si>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</si>
  <si>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</si>
  <si>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</si>
  <si>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</si>
  <si>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</si>
  <si>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</si>
  <si>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</si>
  <si>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</si>
  <si>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</si>
  <si>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</si>
  <si>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</si>
  <si>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</si>
  <si>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</si>
  <si>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</si>
  <si>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</si>
  <si>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</si>
  <si>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</si>
  <si>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</si>
  <si>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</si>
  <si>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</si>
  <si>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</si>
  <si>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</si>
  <si>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</si>
  <si>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</si>
  <si>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</si>
  <si>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</si>
  <si>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</si>
  <si>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</si>
  <si>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</si>
  <si>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</si>
  <si>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</si>
  <si>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</si>
  <si>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</si>
  <si>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</si>
  <si>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</si>
  <si>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</si>
  <si>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</si>
  <si>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</si>
  <si>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</si>
  <si>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</si>
  <si>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</si>
  <si>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</si>
  <si>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</si>
  <si>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</si>
  <si>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</si>
  <si>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</si>
  <si>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</si>
  <si>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</si>
  <si>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</si>
  <si>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</si>
  <si>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</si>
  <si>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</si>
  <si>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</si>
  <si>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</si>
  <si>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</si>
  <si>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</si>
  <si>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</si>
  <si>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</si>
  <si>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</si>
  <si>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</si>
  <si>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</si>
  <si>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</si>
  <si>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</si>
  <si>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</si>
  <si>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</si>
  <si>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</si>
  <si>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</si>
  <si>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</si>
  <si>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</si>
  <si>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</si>
  <si>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</si>
  <si>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</si>
  <si>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</si>
  <si>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</si>
  <si>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</si>
  <si>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</si>
  <si>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</si>
  <si>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</si>
  <si>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</si>
  <si>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</si>
  <si>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</si>
  <si>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</si>
  <si>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</si>
  <si>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</si>
  <si>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</si>
  <si>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</si>
  <si>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</si>
  <si>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</si>
  <si>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</si>
  <si>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</si>
  <si>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</si>
  <si>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</si>
  <si>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</si>
  <si>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</si>
  <si>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</si>
  <si>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</si>
  <si>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</si>
  <si>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</si>
  <si>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</si>
  <si>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</si>
  <si>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</si>
  <si>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</si>
  <si>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</si>
  <si>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</si>
  <si>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</si>
  <si>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</si>
  <si>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</si>
  <si>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</si>
  <si>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</si>
  <si>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</si>
  <si>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</si>
  <si>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</si>
  <si>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</si>
  <si>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</si>
  <si>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</si>
  <si>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</si>
  <si>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</si>
  <si>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</si>
  <si>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</si>
  <si>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</si>
  <si>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</si>
  <si>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</si>
  <si>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</si>
  <si>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</si>
  <si>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</si>
  <si>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</si>
  <si>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</si>
  <si>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</si>
  <si>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</si>
  <si>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</si>
  <si>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</si>
  <si>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</si>
  <si>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</si>
  <si>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</si>
  <si>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</si>
  <si>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</si>
  <si>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</si>
  <si>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</si>
  <si>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</si>
  <si>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</si>
  <si>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</si>
  <si>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</si>
  <si>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</si>
  <si>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</si>
  <si>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</si>
  <si>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</si>
  <si>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</si>
  <si>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</si>
  <si>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</si>
  <si>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</si>
  <si>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</si>
  <si>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</si>
  <si>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</si>
  <si>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</si>
  <si>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</si>
  <si>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</si>
  <si>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</si>
  <si>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</si>
  <si>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</si>
  <si>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</si>
  <si>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</si>
  <si>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</si>
  <si>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</si>
  <si>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</si>
  <si>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</si>
  <si>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</si>
  <si>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</si>
  <si>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</si>
  <si>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</si>
  <si>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</si>
  <si>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</si>
  <si>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</si>
  <si>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</si>
  <si>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</si>
  <si>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</si>
  <si>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</si>
  <si>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</si>
  <si>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</si>
  <si>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</si>
  <si>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</si>
  <si>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</si>
  <si>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</si>
  <si>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</si>
  <si>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</si>
  <si>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</si>
  <si>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</si>
  <si>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</si>
  <si>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</si>
  <si>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</si>
  <si>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</si>
  <si>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</si>
  <si>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</si>
  <si>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</si>
  <si>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</si>
  <si>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</si>
  <si>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</si>
  <si>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</si>
  <si>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</si>
  <si>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</si>
  <si>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</si>
  <si>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</si>
  <si>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</si>
  <si>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</si>
  <si>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</si>
  <si>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</si>
  <si>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</si>
  <si>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</si>
  <si>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</si>
  <si>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</si>
  <si>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</si>
  <si>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</si>
  <si>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</si>
  <si>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</si>
  <si>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</si>
  <si>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</si>
  <si>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</si>
  <si>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</si>
  <si>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</si>
  <si>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</si>
  <si>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</si>
  <si>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</si>
  <si>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</si>
  <si>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</si>
  <si>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</si>
  <si>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</si>
  <si>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</si>
  <si>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</si>
  <si>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</si>
  <si>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</si>
  <si>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</si>
  <si>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</si>
  <si>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</si>
  <si>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</si>
  <si>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</si>
  <si>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</si>
  <si>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</si>
  <si>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</si>
  <si>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</si>
  <si>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</si>
  <si>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</si>
  <si>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</si>
  <si>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</si>
  <si>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</si>
  <si>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</si>
  <si>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</si>
  <si>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</si>
  <si>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</si>
  <si>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</si>
  <si>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</si>
  <si>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</si>
  <si>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</si>
  <si>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</si>
  <si>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</si>
  <si>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</si>
  <si>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</si>
  <si>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</si>
  <si>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</si>
  <si>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</si>
  <si>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</si>
  <si>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</si>
  <si>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</si>
  <si>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</si>
  <si>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</si>
  <si>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</si>
  <si>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</si>
  <si>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</si>
  <si>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</si>
  <si>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</si>
  <si>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</si>
  <si>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</si>
  <si>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</si>
  <si>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</si>
  <si>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</si>
  <si>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</si>
  <si>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</si>
  <si>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</si>
  <si>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</si>
  <si>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</si>
  <si>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</si>
  <si>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</si>
  <si>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</si>
  <si>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</si>
  <si>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</si>
  <si>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</si>
  <si>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</si>
  <si>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</si>
  <si>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</si>
  <si>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</si>
  <si>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</si>
  <si>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</si>
  <si>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</si>
  <si>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</si>
  <si>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</si>
  <si>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</si>
  <si>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</si>
  <si>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</si>
  <si>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</si>
  <si>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</si>
  <si>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</si>
  <si>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</si>
  <si>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</si>
  <si>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</si>
  <si>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</si>
  <si>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</si>
  <si>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</si>
  <si>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</si>
  <si>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</si>
  <si>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</si>
  <si>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</si>
  <si>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</si>
  <si>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</si>
  <si>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</si>
  <si>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</si>
  <si>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</si>
  <si>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</si>
  <si>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</si>
  <si>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</si>
  <si>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</si>
  <si>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</si>
  <si>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</si>
  <si>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</si>
  <si>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</si>
  <si>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</si>
  <si>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</si>
  <si>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</si>
  <si>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</si>
  <si>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</si>
  <si>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</si>
  <si>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</si>
  <si>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</si>
  <si>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</si>
  <si>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</si>
  <si>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</si>
  <si>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</si>
  <si>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</si>
  <si>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</si>
  <si>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</si>
  <si>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</si>
  <si>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</si>
  <si>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</si>
  <si>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</si>
  <si>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</si>
  <si>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</si>
  <si>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</si>
  <si>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</si>
  <si>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</si>
  <si>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</si>
  <si>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</si>
  <si>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</si>
  <si>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</si>
  <si>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</si>
  <si>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</si>
  <si>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</si>
  <si>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</si>
  <si>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</si>
  <si>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</si>
  <si>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</si>
  <si>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</si>
  <si>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</si>
  <si>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</si>
  <si>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</si>
  <si>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</si>
  <si>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</si>
  <si>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</si>
  <si>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</si>
  <si>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</si>
  <si>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</si>
  <si>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</si>
  <si>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</si>
  <si>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</si>
  <si>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</si>
  <si>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</si>
  <si>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</si>
  <si>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</si>
  <si>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</si>
  <si>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</si>
  <si>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</si>
  <si>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</si>
  <si>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</si>
  <si>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</si>
  <si>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</si>
  <si>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</si>
  <si>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</si>
  <si>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</si>
  <si>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</si>
  <si>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</si>
  <si>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</si>
  <si>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</si>
  <si>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</si>
  <si>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</si>
  <si>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</si>
  <si>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</si>
  <si>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</si>
  <si>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</si>
  <si>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</si>
  <si>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</si>
  <si>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</si>
  <si>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</si>
  <si>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</si>
  <si>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</si>
  <si>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</si>
  <si>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</si>
  <si>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</si>
  <si>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</si>
  <si>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</si>
  <si>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</si>
  <si>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</si>
  <si>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</si>
  <si>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</si>
  <si>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</si>
  <si>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</si>
  <si>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</si>
  <si>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</si>
  <si>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</si>
  <si>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</si>
  <si>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</si>
  <si>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</si>
  <si>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</si>
  <si>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</si>
  <si>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</si>
  <si>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</si>
  <si>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</si>
  <si>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</si>
  <si>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</si>
  <si>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</si>
  <si>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</si>
  <si>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</si>
  <si>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</si>
  <si>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</si>
  <si>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</si>
  <si>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</si>
  <si>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</si>
  <si>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</si>
  <si>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</si>
  <si>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</si>
  <si>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</si>
  <si>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</si>
  <si>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</si>
  <si>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</si>
  <si>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</si>
  <si>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</si>
  <si>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</si>
  <si>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</si>
  <si>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</si>
  <si>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</si>
  <si>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</si>
  <si>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</si>
  <si>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</si>
  <si>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</si>
  <si>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</si>
  <si>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</si>
  <si>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</si>
  <si>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</si>
  <si>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</si>
  <si>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</si>
  <si>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</si>
  <si>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</si>
  <si>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</si>
  <si>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</si>
  <si>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</si>
  <si>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</si>
  <si>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</si>
  <si>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</si>
  <si>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</si>
  <si>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</si>
  <si>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</si>
  <si>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</si>
  <si>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</si>
  <si>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</si>
  <si>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</si>
  <si>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</si>
  <si>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</si>
  <si>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</si>
  <si>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</si>
  <si>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</si>
  <si>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</si>
  <si>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</si>
  <si>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</si>
  <si>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</si>
  <si>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</si>
  <si>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</si>
  <si>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</si>
  <si>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</si>
  <si>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</si>
  <si>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</si>
  <si>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</si>
  <si>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</si>
  <si>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</si>
  <si>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</si>
  <si>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</si>
  <si>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</si>
  <si>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</si>
  <si>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</si>
  <si>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</si>
  <si>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</si>
  <si>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</si>
  <si>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</si>
  <si>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</si>
  <si>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</si>
  <si>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</si>
  <si>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</si>
  <si>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</si>
  <si>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</si>
  <si>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</si>
  <si>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</si>
  <si>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</si>
  <si>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</si>
  <si>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</si>
  <si>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</si>
  <si>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</si>
  <si>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</si>
  <si>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</si>
  <si>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</si>
  <si>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</si>
  <si>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</si>
  <si>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</si>
  <si>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</si>
  <si>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</si>
  <si>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</si>
  <si>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</si>
  <si>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</si>
  <si>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</si>
  <si>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</si>
  <si>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</si>
  <si>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</si>
  <si>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</si>
  <si>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</si>
  <si>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</si>
  <si>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</si>
  <si>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</si>
  <si>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</si>
  <si>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</si>
  <si>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</si>
  <si>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</si>
  <si>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</si>
  <si>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</si>
  <si>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</si>
  <si>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</si>
  <si>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</si>
  <si>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</si>
  <si>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</si>
  <si>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</si>
  <si>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</si>
  <si>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</si>
  <si>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</si>
  <si>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</si>
  <si>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</si>
  <si>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</si>
  <si>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</si>
  <si>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</si>
  <si>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</si>
  <si>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</si>
  <si>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</si>
  <si>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</si>
  <si>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</si>
  <si>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</si>
  <si>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</si>
  <si>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</si>
  <si>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</si>
  <si>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</si>
  <si>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</si>
  <si>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</si>
  <si>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</si>
  <si>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</si>
  <si>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</si>
  <si>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</si>
  <si>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</si>
  <si>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</si>
  <si>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</si>
  <si>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</si>
  <si>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</si>
  <si>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</si>
  <si>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</si>
  <si>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</si>
  <si>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</si>
  <si>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</si>
  <si>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</si>
  <si>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</si>
  <si>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</si>
  <si>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</si>
  <si>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</si>
  <si>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</si>
  <si>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</si>
  <si>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</si>
  <si>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</si>
  <si>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</si>
  <si>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</si>
  <si>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</si>
  <si>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</si>
  <si>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</si>
  <si>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</si>
  <si>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</si>
  <si>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</si>
  <si>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</si>
  <si>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</si>
  <si>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</si>
  <si>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</si>
  <si>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</si>
  <si>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</si>
  <si>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</si>
  <si>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</si>
  <si>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</si>
  <si>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</si>
  <si>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</si>
  <si>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</si>
  <si>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</si>
  <si>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</si>
  <si>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</si>
  <si>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</si>
  <si>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</si>
  <si>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</si>
  <si>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</si>
  <si>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</si>
  <si>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</si>
  <si>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</si>
  <si>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</si>
  <si>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</si>
  <si>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</si>
  <si>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</si>
  <si>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</si>
  <si>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</si>
  <si>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</si>
  <si>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</si>
  <si>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</si>
  <si>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</si>
  <si>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</si>
  <si>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</si>
  <si>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</si>
  <si>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</si>
  <si>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</si>
  <si>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</si>
  <si>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</si>
  <si>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</si>
  <si>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</si>
  <si>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</si>
  <si>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</si>
  <si>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</si>
  <si>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</si>
  <si>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</si>
  <si>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</si>
  <si>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</si>
  <si>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</si>
  <si>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</si>
  <si>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</si>
  <si>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</si>
  <si>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</si>
  <si>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</si>
  <si>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</si>
  <si>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</si>
  <si>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</si>
  <si>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</si>
  <si>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</si>
  <si>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</si>
  <si>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</si>
  <si>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</si>
  <si>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</si>
  <si>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</si>
  <si>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</si>
  <si>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</si>
  <si>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</si>
  <si>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</si>
  <si>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</si>
  <si>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</si>
  <si>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</si>
  <si>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</si>
  <si>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</si>
  <si>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</si>
  <si>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</si>
  <si>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</si>
  <si>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</si>
  <si>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</si>
  <si>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</si>
  <si>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</si>
  <si>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</si>
  <si>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</si>
  <si>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</si>
  <si>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</si>
  <si>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</si>
  <si>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</si>
  <si>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</si>
  <si>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</si>
  <si>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</si>
  <si>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</si>
  <si>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</si>
  <si>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</si>
  <si>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</si>
  <si>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</si>
  <si>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</si>
  <si>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</si>
  <si>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</si>
  <si>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</si>
  <si>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</si>
  <si>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</si>
  <si>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</si>
  <si>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</si>
  <si>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</si>
  <si>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</si>
  <si>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</si>
  <si>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</si>
  <si>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</si>
  <si>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</si>
  <si>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</si>
  <si>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</si>
  <si>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</si>
  <si>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</si>
  <si>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</si>
  <si>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</si>
  <si>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</si>
  <si>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</si>
  <si>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</si>
  <si>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</si>
  <si>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</si>
  <si>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</si>
  <si>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</si>
  <si>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</si>
  <si>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</si>
  <si>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</si>
  <si>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</si>
  <si>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</si>
  <si>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</si>
  <si>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</si>
  <si>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</si>
  <si>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</si>
  <si>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</si>
  <si>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</si>
  <si>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</si>
  <si>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</si>
  <si>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</si>
  <si>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</si>
  <si>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</si>
  <si>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</si>
  <si>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</si>
  <si>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</si>
  <si>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</si>
  <si>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</si>
  <si>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</si>
  <si>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</si>
  <si>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</si>
  <si>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</si>
  <si>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</si>
  <si>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</si>
  <si>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</si>
  <si>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</si>
  <si>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</si>
  <si>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</si>
  <si>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</si>
  <si>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</si>
  <si>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</si>
  <si>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</si>
  <si>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</si>
  <si>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</si>
  <si>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</si>
  <si>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</si>
  <si>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</si>
  <si>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</si>
  <si>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</si>
  <si>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</si>
  <si>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</si>
  <si>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</si>
  <si>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</si>
  <si>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</si>
  <si>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</si>
  <si>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</si>
  <si>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</si>
  <si>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</si>
  <si>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</si>
  <si>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</si>
  <si>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</si>
  <si>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</si>
  <si>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</si>
  <si>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</si>
  <si>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</si>
  <si>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</si>
  <si>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</si>
  <si>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</si>
  <si>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</si>
  <si>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</si>
  <si>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</si>
  <si>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</si>
  <si>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</si>
  <si>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</si>
  <si>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</si>
  <si>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</si>
  <si>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</si>
  <si>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</si>
  <si>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</si>
  <si>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</si>
  <si>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</si>
  <si>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</si>
  <si>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</si>
  <si>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</si>
  <si>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</si>
  <si>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</si>
  <si>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</si>
  <si>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</si>
  <si>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</si>
  <si>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</si>
  <si>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</si>
  <si>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</si>
  <si>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</si>
  <si>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</si>
  <si>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</si>
  <si>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</si>
  <si>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</si>
  <si>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</si>
  <si>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</si>
  <si>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</si>
  <si>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</si>
  <si>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</si>
  <si>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</si>
  <si>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</si>
  <si>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</si>
  <si>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</si>
  <si>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</si>
  <si>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</si>
  <si>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</si>
  <si>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</si>
  <si>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</si>
  <si>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</si>
  <si>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</si>
  <si>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</si>
  <si>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</si>
  <si>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</si>
  <si>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</si>
  <si>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</si>
  <si>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</si>
  <si>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</si>
  <si>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</si>
  <si>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</si>
  <si>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</si>
  <si>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</si>
  <si>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</si>
  <si>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</si>
  <si>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</si>
  <si>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</si>
  <si>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</si>
  <si>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</si>
  <si>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</si>
  <si>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</si>
  <si>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</si>
  <si>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</si>
  <si>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</si>
  <si>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</si>
  <si>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</si>
  <si>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</si>
  <si>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</si>
  <si>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</si>
  <si>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</si>
  <si>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</si>
  <si>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</si>
  <si>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</si>
  <si>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</si>
  <si>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</si>
  <si>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</si>
  <si>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</si>
  <si>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</si>
  <si>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</si>
  <si>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</si>
  <si>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</si>
  <si>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</si>
  <si>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</si>
  <si>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</si>
  <si>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</si>
  <si>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</si>
  <si>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</si>
  <si>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</si>
  <si>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</si>
  <si>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</si>
  <si>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</si>
  <si>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</si>
  <si>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</si>
  <si>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</si>
  <si>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</si>
  <si>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</si>
  <si>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</si>
  <si>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</si>
  <si>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</si>
  <si>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</si>
  <si>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</si>
  <si>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</si>
  <si>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</si>
  <si>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</si>
  <si>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</si>
  <si>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</si>
  <si>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</si>
  <si>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</si>
  <si>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</si>
  <si>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</si>
  <si>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</si>
  <si>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</si>
  <si>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</si>
  <si>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</si>
  <si>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</si>
  <si>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</si>
  <si>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</si>
  <si>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</si>
  <si>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</si>
  <si>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</si>
  <si>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</si>
  <si>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</si>
  <si>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</si>
  <si>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</si>
  <si>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</si>
  <si>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</si>
  <si>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</si>
  <si>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</si>
  <si>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</si>
  <si>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</si>
  <si>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</si>
  <si>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</si>
  <si>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</si>
  <si>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</si>
  <si>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</si>
  <si>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</si>
  <si>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</si>
  <si>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</si>
  <si>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</si>
  <si>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</si>
  <si>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</si>
  <si>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</si>
  <si>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</si>
  <si>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</si>
  <si>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</si>
  <si>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</si>
  <si>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</si>
  <si>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</si>
  <si>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</si>
  <si>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</si>
  <si>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</si>
  <si>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</si>
  <si>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</si>
  <si>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</si>
  <si>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</si>
  <si>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</si>
  <si>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</si>
  <si>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</si>
  <si>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</si>
  <si>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</si>
  <si>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</si>
  <si>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</si>
  <si>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</si>
  <si>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</si>
  <si>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</si>
  <si>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</si>
  <si>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</si>
  <si>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</si>
  <si>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</si>
  <si>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</si>
  <si>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</si>
  <si>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</si>
  <si>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</si>
  <si>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</si>
  <si>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</si>
  <si>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</si>
  <si>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</si>
  <si>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</si>
  <si>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</si>
  <si>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</si>
  <si>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</si>
  <si>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</si>
  <si>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</si>
  <si>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</si>
  <si>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</si>
  <si>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</si>
  <si>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</si>
  <si>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</si>
  <si>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</si>
  <si>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</si>
  <si>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</si>
  <si>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</si>
  <si>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</si>
  <si>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</si>
  <si>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</si>
  <si>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</si>
  <si>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</si>
  <si>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</si>
  <si>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</si>
  <si>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</si>
  <si>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</si>
  <si>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</si>
  <si>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</si>
  <si>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</si>
  <si>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</si>
  <si>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</si>
  <si>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</si>
  <si>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</si>
  <si>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</si>
  <si>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</si>
  <si>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</si>
  <si>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</si>
  <si>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</si>
  <si>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</si>
  <si>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</si>
  <si>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</si>
  <si>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</si>
  <si>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</si>
  <si>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</si>
  <si>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</si>
  <si>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</si>
  <si>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</si>
  <si>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</si>
  <si>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</si>
  <si>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</si>
  <si>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</si>
  <si>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</si>
  <si>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</si>
  <si>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</si>
  <si>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</si>
  <si>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</si>
  <si>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</si>
  <si>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</si>
  <si>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</si>
  <si>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</si>
  <si>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</si>
  <si>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</si>
  <si>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</si>
  <si>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</si>
  <si>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</si>
  <si>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</si>
  <si>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</si>
  <si>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</si>
  <si>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</si>
  <si>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</si>
  <si>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</si>
  <si>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</si>
  <si>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</si>
  <si>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</si>
  <si>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</si>
  <si>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</si>
  <si>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</si>
  <si>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</si>
  <si>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</si>
  <si>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</si>
  <si>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</si>
  <si>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</si>
  <si>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</si>
  <si>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</si>
  <si>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</si>
  <si>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</si>
  <si>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Queen Apartments 2, LP</t>
  </si>
  <si>
    <t>Queen Apartments</t>
  </si>
  <si>
    <t>Timothy Elliott</t>
  </si>
  <si>
    <t>213-808-8596</t>
  </si>
  <si>
    <t>timothy.elliott@lacity.org</t>
  </si>
  <si>
    <t>2620 S. Orchard Ave., 5217 W. Marathon St., 445 &amp; 451 Lucas, 516 S. Union, Los Angeles, CA</t>
  </si>
  <si>
    <t>2218.2, 1917.1, 2091.03, 2091.05</t>
  </si>
  <si>
    <t>5055-026-019, 5535-013-015, 5153-023-017, 5153-023-019, 5153-055-026</t>
  </si>
  <si>
    <t>40%/60%</t>
  </si>
  <si>
    <t>1730 E. Holly Avenue, Suite 327</t>
  </si>
  <si>
    <t>CA</t>
  </si>
  <si>
    <t>Phillip Curls</t>
  </si>
  <si>
    <t>pcurls@apg-dev.com</t>
  </si>
  <si>
    <t>Community Revitalization &amp; Development Corporation</t>
  </si>
  <si>
    <t>Managing GP</t>
  </si>
  <si>
    <t>1918 West Street</t>
  </si>
  <si>
    <t>Redding</t>
  </si>
  <si>
    <t>David Rutledge</t>
  </si>
  <si>
    <t>david@crdc-housing.org</t>
  </si>
  <si>
    <t>Administrative GP</t>
  </si>
  <si>
    <t>Queen Apartments GP, LLC</t>
  </si>
  <si>
    <t>El Segundo</t>
  </si>
  <si>
    <t>Alliance Property Group Inc.</t>
  </si>
  <si>
    <t>Developer</t>
  </si>
  <si>
    <t>Alliance Property Group, Inc.</t>
  </si>
  <si>
    <t>El Segundo, CA 90245</t>
  </si>
  <si>
    <t>Sabelhaus &amp; Strain PC</t>
  </si>
  <si>
    <t>1724 10th Street</t>
  </si>
  <si>
    <t>Sacramento, CA 95811</t>
  </si>
  <si>
    <t>Steve Strain</t>
  </si>
  <si>
    <t>sstrain@sabelhauslaw.com</t>
  </si>
  <si>
    <t>Musser: Architects</t>
  </si>
  <si>
    <t>251 E. Imperial Highway #480</t>
  </si>
  <si>
    <t>Fullerton, CA 92835</t>
  </si>
  <si>
    <t>David Musser</t>
  </si>
  <si>
    <t>dmusser@musserarchitects.com</t>
  </si>
  <si>
    <t>MFIB CA dba ICON National</t>
  </si>
  <si>
    <t>15721 Greenway Hayden Loop</t>
  </si>
  <si>
    <t>Scottsdale, AZ 85260</t>
  </si>
  <si>
    <t>David Soggie</t>
  </si>
  <si>
    <t>dsoggie@iconnational.com</t>
  </si>
  <si>
    <t>Partner Energy</t>
  </si>
  <si>
    <t>2154 Torrance Blvd.</t>
  </si>
  <si>
    <t>Torrance, CA 90501</t>
  </si>
  <si>
    <t>Molly Garcia</t>
  </si>
  <si>
    <t>mgarcia@ptenergy.com</t>
  </si>
  <si>
    <t>Novogradac &amp; Company</t>
  </si>
  <si>
    <t>2033 N. Main Street</t>
  </si>
  <si>
    <t>Walnut Creek, CA 94596</t>
  </si>
  <si>
    <t>Jon Adkins</t>
  </si>
  <si>
    <t>jon.adkins@novoco.com</t>
  </si>
  <si>
    <t>Enterprise Housing Credit Investment</t>
  </si>
  <si>
    <t>700 S. Flower Street, Suite 1140</t>
  </si>
  <si>
    <t>Los Angeles, CA 90017</t>
  </si>
  <si>
    <t>Reagan Maechling</t>
  </si>
  <si>
    <t>rmaechling@enterprisecommunity.com</t>
  </si>
  <si>
    <t>1160 Battery Street</t>
  </si>
  <si>
    <t>San Francisco, CA 94111</t>
  </si>
  <si>
    <t>Lindsey Hannon</t>
  </si>
  <si>
    <t>lindsey.hannon@novoco.com</t>
  </si>
  <si>
    <t>HDSI Management</t>
  </si>
  <si>
    <t>3460 S. Broadway</t>
  </si>
  <si>
    <t>Los Angeles, CA 90007</t>
  </si>
  <si>
    <t>Noel Sweitzer</t>
  </si>
  <si>
    <t>hdsimgmt@aol.com</t>
  </si>
  <si>
    <t>Partner Engineering</t>
  </si>
  <si>
    <t>8422 Bellona Lane, Suite 301</t>
  </si>
  <si>
    <t>Towson, MD 21204</t>
  </si>
  <si>
    <t>Michael Nelson</t>
  </si>
  <si>
    <t>mnelson@partneresi.com</t>
  </si>
  <si>
    <t>Jesse Cruz</t>
  </si>
  <si>
    <t>jesse1.cruz@lacity.org</t>
  </si>
  <si>
    <t>Appraisal</t>
  </si>
  <si>
    <t>2 &amp; 3</t>
  </si>
  <si>
    <t>Multifamily apartment complex</t>
  </si>
  <si>
    <t>Danielle Curls Bennett</t>
  </si>
  <si>
    <t>President</t>
  </si>
  <si>
    <t>1730 E. Holly Avenue</t>
  </si>
  <si>
    <t>Other (Specify below)</t>
  </si>
  <si>
    <t>2-story and 3-story walk buildings contained in 5 separate buildings on scattered sites</t>
  </si>
  <si>
    <t>Multifamily apartment</t>
  </si>
  <si>
    <t>RD1.5-1-0 (Orchard), RD1.5-1XL (Marathon), CW (Lucas), R41 (Union)</t>
  </si>
  <si>
    <t>Existing nonconforming</t>
  </si>
  <si>
    <t>Berkadia - Tax Exempt Loan</t>
  </si>
  <si>
    <t>Berkadia - Taxable Tail</t>
  </si>
  <si>
    <t>Enterprise Housing Credit Inv.</t>
  </si>
  <si>
    <t>NOI During Rehab</t>
  </si>
  <si>
    <t>Deferred to Permanent</t>
  </si>
  <si>
    <t>5960 Berkshire Lane, Suite 1000</t>
  </si>
  <si>
    <t>Dallas, TX  75225</t>
  </si>
  <si>
    <t>Timothy Leonhard</t>
  </si>
  <si>
    <t>(214) 360-3849</t>
  </si>
  <si>
    <t>Tax Exempt Construction Loan</t>
  </si>
  <si>
    <t>Not Applicable</t>
  </si>
  <si>
    <t>Taxable Tail</t>
  </si>
  <si>
    <t>Los Angeles, CA  90017</t>
  </si>
  <si>
    <t>(213) 833-7988</t>
  </si>
  <si>
    <t>Tax Credit Equity</t>
  </si>
  <si>
    <t>Seller Carryback Loan</t>
  </si>
  <si>
    <t>(323) 497-1705</t>
  </si>
  <si>
    <t>Permanent Loan</t>
  </si>
  <si>
    <t>Tax Exempt Permanent Loan</t>
  </si>
  <si>
    <t>Late, NSF, damage</t>
  </si>
  <si>
    <t>Administrative Expense</t>
  </si>
  <si>
    <t>Supplies</t>
  </si>
  <si>
    <t>LOMOD/HUD</t>
  </si>
  <si>
    <t>Project-based vouchers (PBVs)</t>
  </si>
  <si>
    <t>1 bedroom</t>
  </si>
  <si>
    <t>Stephanie Barrett</t>
  </si>
  <si>
    <t>Equity Bridge Loan</t>
  </si>
  <si>
    <t>Other: Third-Party Reports</t>
  </si>
  <si>
    <t>Other: Administrative Costs</t>
  </si>
  <si>
    <t>Seller Carry Back Loan</t>
  </si>
  <si>
    <t>Berkadia - Taxable Bridge Loan</t>
  </si>
  <si>
    <t>n/a</t>
  </si>
  <si>
    <t>APG Holdings 2, LLC</t>
  </si>
  <si>
    <t>Need to Provide</t>
  </si>
  <si>
    <t>Provided</t>
  </si>
  <si>
    <t xml:space="preserve"> September</t>
  </si>
  <si>
    <t>President, Alliance Property Group, Inc.</t>
  </si>
  <si>
    <t>Other: LP Operating Reserve</t>
  </si>
  <si>
    <t>1910 Sunset Blvd., Suite 300</t>
  </si>
  <si>
    <t>Los Angeles, CA 90026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</si>
</sst>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 customHeight="1">
      <c r="A40" s="4"/>
      <c r="B40"/>
      <c r="C40" s="2"/>
      <c r="D40" s="4"/>
      <c r="E40" s="4" t="s">
        <v>654</v>
      </c>
      <c r="F40" s="1262" t="s">
        <v>1165</v>
      </c>
    </row>
    <row r="41" spans="1:38" s="1262"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0" t="s">
        <v>1586</v>
      </c>
      <c r="B1" s="2660"/>
      <c r="C1" s="2660"/>
      <c r="D1" s="2660"/>
      <c r="E1" s="2660"/>
      <c r="F1" s="2660"/>
      <c r="G1" s="2660"/>
      <c r="H1" s="2660"/>
      <c r="I1" s="2660"/>
      <c r="J1" s="266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25635320</v>
      </c>
      <c r="I3" s="1105"/>
    </row>
    <row r="4" spans="1:13" s="1051" customFormat="1" ht="20.100000000000001" customHeight="1">
      <c r="B4" s="1094"/>
      <c r="D4" s="1108"/>
      <c r="F4" s="1092" t="s">
        <v>1992</v>
      </c>
      <c r="G4" s="1091" t="s">
        <v>1991</v>
      </c>
      <c r="H4" s="1093">
        <f>I18</f>
        <v>10095690.359477125</v>
      </c>
      <c r="I4" s="1095"/>
      <c r="K4" s="1055"/>
    </row>
    <row r="5" spans="1:13" s="1051" customFormat="1" ht="20.100000000000001" customHeight="1" thickBot="1">
      <c r="B5" s="1096"/>
      <c r="C5" s="1097"/>
      <c r="D5" s="1109"/>
      <c r="E5" s="1098"/>
      <c r="F5" s="1109" t="s">
        <v>1942</v>
      </c>
      <c r="G5" s="1110"/>
      <c r="H5" s="1106">
        <f>IFERROR(H3/H4,0)</f>
        <v>2.5392339787774256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1940</v>
      </c>
      <c r="C8" s="2664"/>
      <c r="D8" s="2664"/>
      <c r="E8" s="2665"/>
      <c r="G8" s="2666" t="s">
        <v>1941</v>
      </c>
      <c r="H8" s="2667"/>
      <c r="I8" s="2668"/>
      <c r="K8" s="1057"/>
    </row>
    <row r="9" spans="1:13" ht="15" customHeight="1">
      <c r="A9" s="1046"/>
      <c r="B9" s="2661" t="s">
        <v>1974</v>
      </c>
      <c r="C9" s="2661"/>
      <c r="D9" s="2661"/>
      <c r="E9" s="1059">
        <f>G33</f>
        <v>4185000</v>
      </c>
      <c r="G9" s="2669" t="s">
        <v>1972</v>
      </c>
      <c r="H9" s="2669"/>
      <c r="I9" s="1060">
        <f>SUMIF(Application!M554:M565,"Loan, Tax-Exempt",Application!AM554:AM565)</f>
        <v>10750000</v>
      </c>
      <c r="K9" s="1061"/>
      <c r="M9" s="1062"/>
    </row>
    <row r="10" spans="1:13" ht="15" customHeight="1" thickBot="1">
      <c r="A10" s="1046"/>
      <c r="B10" s="2661" t="s">
        <v>1975</v>
      </c>
      <c r="C10" s="2661"/>
      <c r="D10" s="2661"/>
      <c r="E10" s="1060">
        <f>G47</f>
        <v>17842320</v>
      </c>
      <c r="G10" s="2673" t="s">
        <v>1943</v>
      </c>
      <c r="H10" s="2673"/>
      <c r="I10" s="1140">
        <f>'Basis &amp; Credits'!AB78</f>
        <v>0</v>
      </c>
      <c r="M10" s="1062"/>
    </row>
    <row r="11" spans="1:13" ht="15" customHeight="1">
      <c r="A11" s="1046"/>
      <c r="B11" s="2677" t="s">
        <v>2263</v>
      </c>
      <c r="C11" s="2678"/>
      <c r="D11" s="2679"/>
      <c r="E11" s="1060">
        <f>SUM(E12,E13)</f>
        <v>260000</v>
      </c>
      <c r="G11" s="2676" t="s">
        <v>1983</v>
      </c>
      <c r="H11" s="2676"/>
      <c r="I11" s="1139">
        <f>I9+I10</f>
        <v>10750000</v>
      </c>
      <c r="M11" s="1062"/>
    </row>
    <row r="12" spans="1:13" ht="15" customHeight="1">
      <c r="A12" s="1063"/>
      <c r="B12" s="2662" t="s">
        <v>2265</v>
      </c>
      <c r="C12" s="2662"/>
      <c r="D12" s="2662"/>
      <c r="E12" s="1165">
        <f>G56</f>
        <v>0</v>
      </c>
      <c r="M12" s="1062"/>
    </row>
    <row r="13" spans="1:13" ht="15" customHeight="1">
      <c r="A13" s="1049"/>
      <c r="B13" s="2662" t="s">
        <v>2266</v>
      </c>
      <c r="C13" s="2662"/>
      <c r="D13" s="2662"/>
      <c r="E13" s="1165">
        <f>G65</f>
        <v>260000</v>
      </c>
      <c r="G13" s="2666" t="s">
        <v>2006</v>
      </c>
      <c r="H13" s="2667"/>
      <c r="I13" s="2668"/>
      <c r="M13" s="1062"/>
    </row>
    <row r="14" spans="1:13" ht="15" customHeight="1">
      <c r="A14" s="1049"/>
      <c r="B14" s="2677" t="s">
        <v>2264</v>
      </c>
      <c r="C14" s="2678"/>
      <c r="D14" s="2679"/>
      <c r="E14" s="1167">
        <f>MAX(E15,E16)+E17</f>
        <v>3348000</v>
      </c>
      <c r="G14" s="2669" t="s">
        <v>139</v>
      </c>
      <c r="H14" s="2669"/>
      <c r="I14" s="1064">
        <f>15%*(AND(G120="Yes",G122&lt;&gt;""))</f>
        <v>0</v>
      </c>
      <c r="M14" s="1062"/>
    </row>
    <row r="15" spans="1:13" ht="15" customHeight="1">
      <c r="A15" s="1049"/>
      <c r="B15" s="2680" t="s">
        <v>2270</v>
      </c>
      <c r="C15" s="2681"/>
      <c r="D15" s="2682"/>
      <c r="E15" s="1165">
        <f>G80</f>
        <v>0</v>
      </c>
      <c r="G15" s="1137" t="s">
        <v>1984</v>
      </c>
      <c r="H15" s="1137"/>
      <c r="I15" s="1064">
        <f>IF(Application!AJ1032&gt;0,10%,IF(Application!AJ1036&gt;0,5%,0))</f>
        <v>0</v>
      </c>
      <c r="M15" s="1062"/>
    </row>
    <row r="16" spans="1:13" ht="15" customHeight="1">
      <c r="A16" s="1049"/>
      <c r="B16" s="2680" t="s">
        <v>2269</v>
      </c>
      <c r="C16" s="2681"/>
      <c r="D16" s="2682"/>
      <c r="E16" s="1165">
        <f>G90</f>
        <v>0</v>
      </c>
      <c r="G16" s="2669" t="s">
        <v>1985</v>
      </c>
      <c r="H16" s="2669"/>
      <c r="I16" s="1064">
        <f>G132</f>
        <v>6.0866013071895424E-2</v>
      </c>
    </row>
    <row r="17" spans="1:21" ht="15" customHeight="1" thickBot="1">
      <c r="A17" s="1049"/>
      <c r="B17" s="2680" t="s">
        <v>2268</v>
      </c>
      <c r="C17" s="2681"/>
      <c r="D17" s="2682"/>
      <c r="E17" s="1165">
        <f>G115</f>
        <v>3348000</v>
      </c>
      <c r="G17" s="2669" t="s">
        <v>2278</v>
      </c>
      <c r="H17" s="2669"/>
      <c r="I17" s="1064">
        <f>IF(AND(G139="Yes",OR(G136,G137)),IF(G143&gt;15%,15%,G143),0)</f>
        <v>0</v>
      </c>
    </row>
    <row r="18" spans="1:21" ht="15" customHeight="1">
      <c r="A18" s="1046"/>
      <c r="B18" s="2672" t="s">
        <v>1939</v>
      </c>
      <c r="C18" s="2672"/>
      <c r="D18" s="2672"/>
      <c r="E18" s="1111">
        <f>SUM(E9:E11,E14)</f>
        <v>25635320</v>
      </c>
      <c r="G18" s="1138" t="s">
        <v>1973</v>
      </c>
      <c r="H18" s="1138"/>
      <c r="I18" s="1112">
        <f>I11-((I11*I14)+(I11*I15)+(I11*I16)+(I11*I17))</f>
        <v>10095690.359477125</v>
      </c>
      <c r="M18" s="1065">
        <f>SUM(Cdlac[Quantity])</f>
        <v>92</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12</v>
      </c>
      <c r="N21" s="1071">
        <f>Application!AC719</f>
        <v>0.5</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70" t="s">
        <v>1987</v>
      </c>
      <c r="D22" s="2670" t="s">
        <v>1988</v>
      </c>
      <c r="E22" s="2670" t="s">
        <v>1989</v>
      </c>
      <c r="F22" s="2670" t="s">
        <v>2609</v>
      </c>
      <c r="G22" s="2670" t="s">
        <v>1986</v>
      </c>
      <c r="H22" s="1070"/>
      <c r="I22" s="1069"/>
      <c r="L22" s="1044">
        <f>IFERROR(MIN(4,MATCH(Application!B720,UnitSizes,0)-1),"")</f>
        <v>0</v>
      </c>
      <c r="M22" s="1065">
        <f>Application!G720</f>
        <v>14</v>
      </c>
      <c r="N22" s="1071">
        <f>Application!AC720</f>
        <v>0.6</v>
      </c>
      <c r="O22" s="1071">
        <f>IF(Cdlac[[#This Row],[Quantity]]&gt;0,IF(Cdlac[[#This Row],[Federal]],30%,IF(AND(OR(NOT($G$38),$G$38=""),$G$43),40%,Cdlac[[#This Row],[iAMI]])),"")</f>
        <v>0.3</v>
      </c>
      <c r="P22" s="1065" cm="1">
        <f t="array" ref="P22">IF(Cdlac[[#This Row],[Quantity]]&gt;0,INDEX(TcacRents,$P$18,Cdlac[[#This Row],[Bedrooms]]+1)*Cdlac[[#This Row],[AMI]],"")</f>
        <v>795</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1061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71"/>
      <c r="D23" s="2671"/>
      <c r="E23" s="2671"/>
      <c r="F23" s="2671"/>
      <c r="G23" s="2671"/>
      <c r="H23" s="1070"/>
      <c r="I23" s="1069"/>
      <c r="L23" s="1044">
        <f>IFERROR(MIN(4,MATCH(Application!B721,UnitSizes,0)-1),"")</f>
        <v>0</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795</v>
      </c>
      <c r="Q23" s="1164"/>
      <c r="R23" s="1065" cm="1">
        <f t="array" ref="R23">IF(Cdlac[[#This Row],[Quantity]]&gt;0,INDEX(HudFmrs,$P$18,Cdlac[[#This Row],[Bedrooms]]+1),"")</f>
        <v>1856</v>
      </c>
      <c r="S23" s="1065">
        <f>IF(Cdlac[[#This Row],[Quantity]]&gt;0,MAX(0,Cdlac[[#This Row],[Fair Market Rent]]-IF(AND($G$37,$G$38,$G$38&lt;&gt;"",NOT(Cdlac[[#This Row],[Federal]]),Cdlac[[#This Row],[Preservation Rent]]&lt;&gt;""),Cdlac[[#This Row],[Preservation Rent]],Cdlac[[#This Row],[Restricted Rent]])),"")</f>
        <v>1061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83</v>
      </c>
      <c r="F24" s="1072">
        <f>E24</f>
        <v>83</v>
      </c>
      <c r="G24" s="1072">
        <f>D24*F24</f>
        <v>74.7</v>
      </c>
      <c r="L24" s="1044">
        <f>IFERROR(MIN(4,MATCH(Application!B722,UnitSizes,0)-1),"")</f>
        <v>0</v>
      </c>
      <c r="M24" s="1065">
        <f>Application!G722</f>
        <v>3</v>
      </c>
      <c r="N24" s="1071">
        <f>Application!AC722</f>
        <v>0.5</v>
      </c>
      <c r="O24" s="1071">
        <f>IF(Cdlac[[#This Row],[Quantity]]&gt;0,IF(Cdlac[[#This Row],[Federal]],30%,IF(AND(OR(NOT($G$38),$G$38=""),$G$43),40%,Cdlac[[#This Row],[iAMI]])),"")</f>
        <v>0.3</v>
      </c>
      <c r="P24" s="1065" cm="1">
        <f t="array" ref="P24">IF(Cdlac[[#This Row],[Quantity]]&gt;0,INDEX(TcacRents,$P$18,Cdlac[[#This Row],[Bedrooms]]+1)*Cdlac[[#This Row],[AMI]],"")</f>
        <v>795</v>
      </c>
      <c r="Q24" s="1164"/>
      <c r="R24" s="1065" cm="1">
        <f t="array" ref="R24">IF(Cdlac[[#This Row],[Quantity]]&gt;0,INDEX(HudFmrs,$P$18,Cdlac[[#This Row],[Bedrooms]]+1),"")</f>
        <v>1856</v>
      </c>
      <c r="S24" s="1065">
        <f>IF(Cdlac[[#This Row],[Quantity]]&gt;0,MAX(0,Cdlac[[#This Row],[Fair Market Rent]]-IF(AND($G$37,$G$38,$G$38&lt;&gt;"",NOT(Cdlac[[#This Row],[Federal]]),Cdlac[[#This Row],[Preservation Rent]]&lt;&gt;""),Cdlac[[#This Row],[Preservation Rent]],Cdlac[[#This Row],[Restricted Rent]])),"")</f>
        <v>1061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9</v>
      </c>
      <c r="F25" s="1072">
        <f>E25</f>
        <v>9</v>
      </c>
      <c r="G25" s="1072">
        <f>D25*F25</f>
        <v>9</v>
      </c>
      <c r="L25" s="1044">
        <f>IFERROR(MIN(4,MATCH(Application!B723,UnitSizes,0)-1),"")</f>
        <v>0</v>
      </c>
      <c r="M25" s="1065">
        <f>Application!G723</f>
        <v>4</v>
      </c>
      <c r="N25" s="1071">
        <f>Application!AC723</f>
        <v>0.6</v>
      </c>
      <c r="O25" s="1071">
        <f>IF(Cdlac[[#This Row],[Quantity]]&gt;0,IF(Cdlac[[#This Row],[Federal]],30%,IF(AND(OR(NOT($G$38),$G$38=""),$G$43),40%,Cdlac[[#This Row],[iAMI]])),"")</f>
        <v>0.3</v>
      </c>
      <c r="P25" s="1065" cm="1">
        <f t="array" ref="P25">IF(Cdlac[[#This Row],[Quantity]]&gt;0,INDEX(TcacRents,$P$18,Cdlac[[#This Row],[Bedrooms]]+1)*Cdlac[[#This Row],[AMI]],"")</f>
        <v>795</v>
      </c>
      <c r="Q25" s="1164"/>
      <c r="R25" s="1065" cm="1">
        <f t="array" ref="R25">IF(Cdlac[[#This Row],[Quantity]]&gt;0,INDEX(HudFmrs,$P$18,Cdlac[[#This Row],[Bedrooms]]+1),"")</f>
        <v>1856</v>
      </c>
      <c r="S25" s="1065">
        <f>IF(Cdlac[[#This Row],[Quantity]]&gt;0,MAX(0,Cdlac[[#This Row],[Fair Market Rent]]-IF(AND($G$37,$G$38,$G$38&lt;&gt;"",NOT(Cdlac[[#This Row],[Federal]]),Cdlac[[#This Row],[Preservation Rent]]&lt;&gt;""),Cdlac[[#This Row],[Preservation Rent]],Cdlac[[#This Row],[Restricted Rent]])),"")</f>
        <v>1061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0</v>
      </c>
      <c r="M26" s="1065">
        <f>Application!G724</f>
        <v>1</v>
      </c>
      <c r="N26" s="1071">
        <f>Application!AC724</f>
        <v>0.3</v>
      </c>
      <c r="O26" s="1071">
        <f>IF(Cdlac[[#This Row],[Quantity]]&gt;0,IF(Cdlac[[#This Row],[Federal]],30%,IF(AND(OR(NOT($G$38),$G$38=""),$G$43),40%,Cdlac[[#This Row],[iAMI]])),"")</f>
        <v>0.3</v>
      </c>
      <c r="P26" s="1065" cm="1">
        <f t="array" ref="P26">IF(Cdlac[[#This Row],[Quantity]]&gt;0,INDEX(TcacRents,$P$18,Cdlac[[#This Row],[Bedrooms]]+1)*Cdlac[[#This Row],[AMI]],"")</f>
        <v>795</v>
      </c>
      <c r="Q26" s="1164"/>
      <c r="R26" s="1065" cm="1">
        <f t="array" ref="R26">IF(Cdlac[[#This Row],[Quantity]]&gt;0,INDEX(HudFmrs,$P$18,Cdlac[[#This Row],[Bedrooms]]+1),"")</f>
        <v>1856</v>
      </c>
      <c r="S26" s="1065">
        <f>IF(Cdlac[[#This Row],[Quantity]]&gt;0,MAX(0,Cdlac[[#This Row],[Fair Market Rent]]-IF(AND($G$37,$G$38,$G$38&lt;&gt;"",NOT(Cdlac[[#This Row],[Federal]]),Cdlac[[#This Row],[Preservation Rent]]&lt;&gt;""),Cdlac[[#This Row],[Preservation Rent]],Cdlac[[#This Row],[Restricted Rent]])),"")</f>
        <v>1061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0</v>
      </c>
      <c r="M27" s="1065">
        <f>Application!G725</f>
        <v>3</v>
      </c>
      <c r="N27" s="1071">
        <f>Application!AC725</f>
        <v>0.5</v>
      </c>
      <c r="O27" s="1071">
        <f>IF(Cdlac[[#This Row],[Quantity]]&gt;0,IF(Cdlac[[#This Row],[Federal]],30%,IF(AND(OR(NOT($G$38),$G$38=""),$G$43),40%,Cdlac[[#This Row],[iAMI]])),"")</f>
        <v>0.3</v>
      </c>
      <c r="P27" s="1065" cm="1">
        <f t="array" ref="P27">IF(Cdlac[[#This Row],[Quantity]]&gt;0,INDEX(TcacRents,$P$18,Cdlac[[#This Row],[Bedrooms]]+1)*Cdlac[[#This Row],[AMI]],"")</f>
        <v>795</v>
      </c>
      <c r="Q27" s="1164"/>
      <c r="R27" s="1065" cm="1">
        <f t="array" ref="R27">IF(Cdlac[[#This Row],[Quantity]]&gt;0,INDEX(HudFmrs,$P$18,Cdlac[[#This Row],[Bedrooms]]+1),"")</f>
        <v>1856</v>
      </c>
      <c r="S27" s="1065">
        <f>IF(Cdlac[[#This Row],[Quantity]]&gt;0,MAX(0,Cdlac[[#This Row],[Fair Market Rent]]-IF(AND($G$37,$G$38,$G$38&lt;&gt;"",NOT(Cdlac[[#This Row],[Federal]]),Cdlac[[#This Row],[Preservation Rent]]&lt;&gt;""),Cdlac[[#This Row],[Preservation Rent]],Cdlac[[#This Row],[Restricted Rent]])),"")</f>
        <v>1061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0</v>
      </c>
      <c r="M28" s="1065">
        <f>Application!G726</f>
        <v>3</v>
      </c>
      <c r="N28" s="1071">
        <f>Application!AC726</f>
        <v>0.6</v>
      </c>
      <c r="O28" s="1071">
        <f>IF(Cdlac[[#This Row],[Quantity]]&gt;0,IF(Cdlac[[#This Row],[Federal]],30%,IF(AND(OR(NOT($G$38),$G$38=""),$G$43),40%,Cdlac[[#This Row],[iAMI]])),"")</f>
        <v>0.3</v>
      </c>
      <c r="P28" s="1065" cm="1">
        <f t="array" ref="P28">IF(Cdlac[[#This Row],[Quantity]]&gt;0,INDEX(TcacRents,$P$18,Cdlac[[#This Row],[Bedrooms]]+1)*Cdlac[[#This Row],[AMI]],"")</f>
        <v>795</v>
      </c>
      <c r="Q28" s="1164"/>
      <c r="R28" s="1065" cm="1">
        <f t="array" ref="R28">IF(Cdlac[[#This Row],[Quantity]]&gt;0,INDEX(HudFmrs,$P$18,Cdlac[[#This Row],[Bedrooms]]+1),"")</f>
        <v>1856</v>
      </c>
      <c r="S28" s="1065">
        <f>IF(Cdlac[[#This Row],[Quantity]]&gt;0,MAX(0,Cdlac[[#This Row],[Fair Market Rent]]-IF(AND($G$37,$G$38,$G$38&lt;&gt;"",NOT(Cdlac[[#This Row],[Federal]]),Cdlac[[#This Row],[Preservation Rent]]&lt;&gt;""),Cdlac[[#This Row],[Preservation Rent]],Cdlac[[#This Row],[Restricted Rent]])),"")</f>
        <v>1061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4" t="s">
        <v>1587</v>
      </c>
      <c r="D29" s="2685"/>
      <c r="E29" s="1089">
        <f>SUM(E24:E28)</f>
        <v>92</v>
      </c>
      <c r="F29" s="1089">
        <f>SUM(F24:F28)</f>
        <v>92</v>
      </c>
      <c r="G29" s="1090">
        <f>SUMPRODUCT(D24:D28,F24:F28)</f>
        <v>83.7</v>
      </c>
      <c r="H29" s="1074"/>
      <c r="I29" s="1074"/>
      <c r="L29" s="1044">
        <f>IFERROR(MIN(4,MATCH(Application!B727,UnitSizes,0)-1),"")</f>
        <v>0</v>
      </c>
      <c r="M29" s="1065">
        <f>Application!G727</f>
        <v>3</v>
      </c>
      <c r="N29" s="1071">
        <f>Application!AC727</f>
        <v>0.3</v>
      </c>
      <c r="O29" s="1071">
        <f>IF(Cdlac[[#This Row],[Quantity]]&gt;0,IF(Cdlac[[#This Row],[Federal]],30%,IF(AND(OR(NOT($G$38),$G$38=""),$G$43),40%,Cdlac[[#This Row],[iAMI]])),"")</f>
        <v>0.3</v>
      </c>
      <c r="P29" s="1065" cm="1">
        <f t="array" ref="P29">IF(Cdlac[[#This Row],[Quantity]]&gt;0,INDEX(TcacRents,$P$18,Cdlac[[#This Row],[Bedrooms]]+1)*Cdlac[[#This Row],[AMI]],"")</f>
        <v>795</v>
      </c>
      <c r="Q29" s="1164"/>
      <c r="R29" s="1065" cm="1">
        <f t="array" ref="R29">IF(Cdlac[[#This Row],[Quantity]]&gt;0,INDEX(HudFmrs,$P$18,Cdlac[[#This Row],[Bedrooms]]+1),"")</f>
        <v>1856</v>
      </c>
      <c r="S29" s="1065">
        <f>IF(Cdlac[[#This Row],[Quantity]]&gt;0,MAX(0,Cdlac[[#This Row],[Fair Market Rent]]-IF(AND($G$37,$G$38,$G$38&lt;&gt;"",NOT(Cdlac[[#This Row],[Federal]]),Cdlac[[#This Row],[Preservation Rent]]&lt;&gt;""),Cdlac[[#This Row],[Preservation Rent]],Cdlac[[#This Row],[Restricted Rent]])),"")</f>
        <v>1061</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0</v>
      </c>
      <c r="M30" s="1065">
        <f>Application!G728</f>
        <v>9</v>
      </c>
      <c r="N30" s="1071">
        <f>Application!AC728</f>
        <v>0.5</v>
      </c>
      <c r="O30" s="1071">
        <f>IF(Cdlac[[#This Row],[Quantity]]&gt;0,IF(Cdlac[[#This Row],[Federal]],30%,IF(AND(OR(NOT($G$38),$G$38=""),$G$43),40%,Cdlac[[#This Row],[iAMI]])),"")</f>
        <v>0.3</v>
      </c>
      <c r="P30" s="1065" cm="1">
        <f t="array" ref="P30">IF(Cdlac[[#This Row],[Quantity]]&gt;0,INDEX(TcacRents,$P$18,Cdlac[[#This Row],[Bedrooms]]+1)*Cdlac[[#This Row],[AMI]],"")</f>
        <v>795</v>
      </c>
      <c r="Q30" s="1164"/>
      <c r="R30" s="1065" cm="1">
        <f t="array" ref="R30">IF(Cdlac[[#This Row],[Quantity]]&gt;0,INDEX(HudFmrs,$P$18,Cdlac[[#This Row],[Bedrooms]]+1),"")</f>
        <v>1856</v>
      </c>
      <c r="S30" s="1065">
        <f>IF(Cdlac[[#This Row],[Quantity]]&gt;0,MAX(0,Cdlac[[#This Row],[Fair Market Rent]]-IF(AND($G$37,$G$38,$G$38&lt;&gt;"",NOT(Cdlac[[#This Row],[Federal]]),Cdlac[[#This Row],[Preservation Rent]]&lt;&gt;""),Cdlac[[#This Row],[Preservation Rent]],Cdlac[[#This Row],[Restricted Rent]])),"")</f>
        <v>1061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83.7</v>
      </c>
      <c r="H31" s="1074"/>
      <c r="I31" s="1074"/>
      <c r="L31" s="1044">
        <f>IFERROR(MIN(4,MATCH(Application!B729,UnitSizes,0)-1),"")</f>
        <v>0</v>
      </c>
      <c r="M31" s="1065">
        <f>Application!G729</f>
        <v>12</v>
      </c>
      <c r="N31" s="1071">
        <f>Application!AC729</f>
        <v>0.6</v>
      </c>
      <c r="O31" s="1071">
        <f>IF(Cdlac[[#This Row],[Quantity]]&gt;0,IF(Cdlac[[#This Row],[Federal]],30%,IF(AND(OR(NOT($G$38),$G$38=""),$G$43),40%,Cdlac[[#This Row],[iAMI]])),"")</f>
        <v>0.3</v>
      </c>
      <c r="P31" s="1065" cm="1">
        <f t="array" ref="P31">IF(Cdlac[[#This Row],[Quantity]]&gt;0,INDEX(TcacRents,$P$18,Cdlac[[#This Row],[Bedrooms]]+1)*Cdlac[[#This Row],[AMI]],"")</f>
        <v>795</v>
      </c>
      <c r="Q31" s="1164"/>
      <c r="R31" s="1065" cm="1">
        <f t="array" ref="R31">IF(Cdlac[[#This Row],[Quantity]]&gt;0,INDEX(HudFmrs,$P$18,Cdlac[[#This Row],[Bedrooms]]+1),"")</f>
        <v>1856</v>
      </c>
      <c r="S31" s="1065">
        <f>IF(Cdlac[[#This Row],[Quantity]]&gt;0,MAX(0,Cdlac[[#This Row],[Fair Market Rent]]-IF(AND($G$37,$G$38,$G$38&lt;&gt;"",NOT(Cdlac[[#This Row],[Federal]]),Cdlac[[#This Row],[Preservation Rent]]&lt;&gt;""),Cdlac[[#This Row],[Preservation Rent]],Cdlac[[#This Row],[Restricted Rent]])),"")</f>
        <v>1061</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f>IFERROR(MIN(4,MATCH(Application!B730,UnitSizes,0)-1),"")</f>
        <v>0</v>
      </c>
      <c r="M32" s="1065">
        <f>Application!G730</f>
        <v>2</v>
      </c>
      <c r="N32" s="1071">
        <f>Application!AC730</f>
        <v>0.3</v>
      </c>
      <c r="O32" s="1071">
        <f>IF(Cdlac[[#This Row],[Quantity]]&gt;0,IF(Cdlac[[#This Row],[Federal]],30%,IF(AND(OR(NOT($G$38),$G$38=""),$G$43),40%,Cdlac[[#This Row],[iAMI]])),"")</f>
        <v>0.3</v>
      </c>
      <c r="P32" s="1065" cm="1">
        <f t="array" ref="P32">IF(Cdlac[[#This Row],[Quantity]]&gt;0,INDEX(TcacRents,$P$18,Cdlac[[#This Row],[Bedrooms]]+1)*Cdlac[[#This Row],[AMI]],"")</f>
        <v>795</v>
      </c>
      <c r="Q32" s="1164"/>
      <c r="R32" s="1065" cm="1">
        <f t="array" ref="R32">IF(Cdlac[[#This Row],[Quantity]]&gt;0,INDEX(HudFmrs,$P$18,Cdlac[[#This Row],[Bedrooms]]+1),"")</f>
        <v>1856</v>
      </c>
      <c r="S32" s="1065">
        <f>IF(Cdlac[[#This Row],[Quantity]]&gt;0,MAX(0,Cdlac[[#This Row],[Fair Market Rent]]-IF(AND($G$37,$G$38,$G$38&lt;&gt;"",NOT(Cdlac[[#This Row],[Federal]]),Cdlac[[#This Row],[Preservation Rent]]&lt;&gt;""),Cdlac[[#This Row],[Preservation Rent]],Cdlac[[#This Row],[Restricted Rent]])),"")</f>
        <v>1061</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1979</v>
      </c>
      <c r="F33" s="1046"/>
      <c r="G33" s="1119">
        <f>G32*G31</f>
        <v>4185000</v>
      </c>
      <c r="H33" s="1074"/>
      <c r="I33" s="1074"/>
      <c r="L33" s="1044">
        <f>IFERROR(MIN(4,MATCH(Application!B731,UnitSizes,0)-1),"")</f>
        <v>0</v>
      </c>
      <c r="M33" s="1065">
        <f>Application!G731</f>
        <v>6</v>
      </c>
      <c r="N33" s="1071">
        <f>Application!AC731</f>
        <v>0.5</v>
      </c>
      <c r="O33" s="1071">
        <f>IF(Cdlac[[#This Row],[Quantity]]&gt;0,IF(Cdlac[[#This Row],[Federal]],30%,IF(AND(OR(NOT($G$38),$G$38=""),$G$43),40%,Cdlac[[#This Row],[iAMI]])),"")</f>
        <v>0.3</v>
      </c>
      <c r="P33" s="1065" cm="1">
        <f t="array" ref="P33">IF(Cdlac[[#This Row],[Quantity]]&gt;0,INDEX(TcacRents,$P$18,Cdlac[[#This Row],[Bedrooms]]+1)*Cdlac[[#This Row],[AMI]],"")</f>
        <v>795</v>
      </c>
      <c r="Q33" s="1164"/>
      <c r="R33" s="1065" cm="1">
        <f t="array" ref="R33">IF(Cdlac[[#This Row],[Quantity]]&gt;0,INDEX(HudFmrs,$P$18,Cdlac[[#This Row],[Bedrooms]]+1),"")</f>
        <v>1856</v>
      </c>
      <c r="S33" s="1065">
        <f>IF(Cdlac[[#This Row],[Quantity]]&gt;0,MAX(0,Cdlac[[#This Row],[Fair Market Rent]]-IF(AND($G$37,$G$38,$G$38&lt;&gt;"",NOT(Cdlac[[#This Row],[Federal]]),Cdlac[[#This Row],[Preservation Rent]]&lt;&gt;""),Cdlac[[#This Row],[Preservation Rent]],Cdlac[[#This Row],[Restricted Rent]])),"")</f>
        <v>1061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f>IFERROR(MIN(4,MATCH(Application!B732,UnitSizes,0)-1),"")</f>
        <v>0</v>
      </c>
      <c r="M34" s="1065">
        <f>Application!G732</f>
        <v>7</v>
      </c>
      <c r="N34" s="1071">
        <f>Application!AC732</f>
        <v>0.6</v>
      </c>
      <c r="O34" s="1071">
        <f>IF(Cdlac[[#This Row],[Quantity]]&gt;0,IF(Cdlac[[#This Row],[Federal]],30%,IF(AND(OR(NOT($G$38),$G$38=""),$G$43),40%,Cdlac[[#This Row],[iAMI]])),"")</f>
        <v>0.3</v>
      </c>
      <c r="P34" s="1065" cm="1">
        <f t="array" ref="P34">IF(Cdlac[[#This Row],[Quantity]]&gt;0,INDEX(TcacRents,$P$18,Cdlac[[#This Row],[Bedrooms]]+1)*Cdlac[[#This Row],[AMI]],"")</f>
        <v>795</v>
      </c>
      <c r="Q34" s="1164"/>
      <c r="R34" s="1065" cm="1">
        <f t="array" ref="R34">IF(Cdlac[[#This Row],[Quantity]]&gt;0,INDEX(HudFmrs,$P$18,Cdlac[[#This Row],[Bedrooms]]+1),"")</f>
        <v>1856</v>
      </c>
      <c r="S34" s="1065">
        <f>IF(Cdlac[[#This Row],[Quantity]]&gt;0,MAX(0,Cdlac[[#This Row],[Fair Market Rent]]-IF(AND($G$37,$G$38,$G$38&lt;&gt;"",NOT(Cdlac[[#This Row],[Federal]]),Cdlac[[#This Row],[Preservation Rent]]&lt;&gt;""),Cdlac[[#This Row],[Preservation Rent]],Cdlac[[#This Row],[Restricted Rent]])),"")</f>
        <v>1061</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1</v>
      </c>
    </row>
    <row r="35" spans="1:21" ht="15" customHeight="1">
      <c r="B35" s="1066" t="str">
        <f>B10</f>
        <v>B. Rent Savings Benefit</v>
      </c>
      <c r="C35" s="1067"/>
      <c r="D35" s="1067"/>
      <c r="E35" s="1067"/>
      <c r="F35" s="1067"/>
      <c r="G35" s="1067"/>
      <c r="H35" s="1067"/>
      <c r="I35" s="1068"/>
      <c r="L35" s="1044">
        <f>IFERROR(MIN(4,MATCH(Application!B733,UnitSizes,0)-1),"")</f>
        <v>1</v>
      </c>
      <c r="M35" s="1065">
        <f>Application!G733</f>
        <v>1</v>
      </c>
      <c r="N35" s="1071">
        <f>Application!AC733</f>
        <v>0.3</v>
      </c>
      <c r="O35" s="1071">
        <f>IF(Cdlac[[#This Row],[Quantity]]&gt;0,IF(Cdlac[[#This Row],[Federal]],30%,IF(AND(OR(NOT($G$38),$G$38=""),$G$43),40%,Cdlac[[#This Row],[iAMI]])),"")</f>
        <v>0.3</v>
      </c>
      <c r="P35" s="1065" cm="1">
        <f t="array" ref="P35">IF(Cdlac[[#This Row],[Quantity]]&gt;0,INDEX(TcacRents,$P$18,Cdlac[[#This Row],[Bedrooms]]+1)*Cdlac[[#This Row],[AMI]],"")</f>
        <v>852</v>
      </c>
      <c r="Q35" s="1164"/>
      <c r="R35" s="1065" cm="1">
        <f t="array" ref="R35">IF(Cdlac[[#This Row],[Quantity]]&gt;0,INDEX(HudFmrs,$P$18,Cdlac[[#This Row],[Bedrooms]]+1),"")</f>
        <v>2081</v>
      </c>
      <c r="S35" s="1065">
        <f>IF(Cdlac[[#This Row],[Quantity]]&gt;0,MAX(0,Cdlac[[#This Row],[Fair Market Rent]]-IF(AND($G$37,$G$38,$G$38&lt;&gt;"",NOT(Cdlac[[#This Row],[Federal]]),Cdlac[[#This Row],[Preservation Rent]]&lt;&gt;""),Cdlac[[#This Row],[Preservation Rent]],Cdlac[[#This Row],[Restricted Rent]])),"")</f>
        <v>1229</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1</v>
      </c>
      <c r="M36" s="1065">
        <f>Application!G734</f>
        <v>1</v>
      </c>
      <c r="N36" s="1071">
        <f>Application!AC734</f>
        <v>0.5</v>
      </c>
      <c r="O36" s="1071">
        <f>IF(Cdlac[[#This Row],[Quantity]]&gt;0,IF(Cdlac[[#This Row],[Federal]],30%,IF(AND(OR(NOT($G$38),$G$38=""),$G$43),40%,Cdlac[[#This Row],[iAMI]])),"")</f>
        <v>0.3</v>
      </c>
      <c r="P36" s="1065" cm="1">
        <f t="array" ref="P36">IF(Cdlac[[#This Row],[Quantity]]&gt;0,INDEX(TcacRents,$P$18,Cdlac[[#This Row],[Bedrooms]]+1)*Cdlac[[#This Row],[AMI]],"")</f>
        <v>852</v>
      </c>
      <c r="Q36" s="1164"/>
      <c r="R36" s="1065" cm="1">
        <f t="array" ref="R36">IF(Cdlac[[#This Row],[Quantity]]&gt;0,INDEX(HudFmrs,$P$18,Cdlac[[#This Row],[Bedrooms]]+1),"")</f>
        <v>2081</v>
      </c>
      <c r="S36" s="1065">
        <f>IF(Cdlac[[#This Row],[Quantity]]&gt;0,MAX(0,Cdlac[[#This Row],[Fair Market Rent]]-IF(AND($G$37,$G$38,$G$38&lt;&gt;"",NOT(Cdlac[[#This Row],[Federal]]),Cdlac[[#This Row],[Preservation Rent]]&lt;&gt;""),Cdlac[[#This Row],[Preservation Rent]],Cdlac[[#This Row],[Restricted Rent]])),"")</f>
        <v>1229</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1</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f>IFERROR(MIN(4,MATCH(Application!B735,UnitSizes,0)-1),"")</f>
        <v>1</v>
      </c>
      <c r="M37" s="1065">
        <f>Application!G735</f>
        <v>2</v>
      </c>
      <c r="N37" s="1071">
        <f>Application!AC735</f>
        <v>0.6</v>
      </c>
      <c r="O37" s="1071">
        <f>IF(Cdlac[[#This Row],[Quantity]]&gt;0,IF(Cdlac[[#This Row],[Federal]],30%,IF(AND(OR(NOT($G$38),$G$38=""),$G$43),40%,Cdlac[[#This Row],[iAMI]])),"")</f>
        <v>0.3</v>
      </c>
      <c r="P37" s="1065" cm="1">
        <f t="array" ref="P37">IF(Cdlac[[#This Row],[Quantity]]&gt;0,INDEX(TcacRents,$P$18,Cdlac[[#This Row],[Bedrooms]]+1)*Cdlac[[#This Row],[AMI]],"")</f>
        <v>852</v>
      </c>
      <c r="Q37" s="1164"/>
      <c r="R37" s="1065" cm="1">
        <f t="array" ref="R37">IF(Cdlac[[#This Row],[Quantity]]&gt;0,INDEX(HudFmrs,$P$18,Cdlac[[#This Row],[Bedrooms]]+1),"")</f>
        <v>2081</v>
      </c>
      <c r="S37" s="1065">
        <f>IF(Cdlac[[#This Row],[Quantity]]&gt;0,MAX(0,Cdlac[[#This Row],[Fair Market Rent]]-IF(AND($G$37,$G$38,$G$38&lt;&gt;"",NOT(Cdlac[[#This Row],[Federal]]),Cdlac[[#This Row],[Preservation Rent]]&lt;&gt;""),Cdlac[[#This Row],[Preservation Rent]],Cdlac[[#This Row],[Restricted Rent]])),"")</f>
        <v>1229</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1</v>
      </c>
    </row>
    <row r="38" spans="1:21" ht="15" customHeight="1">
      <c r="E38" s="1084" t="s">
        <v>2260</v>
      </c>
      <c r="G38" s="1163"/>
      <c r="L38" s="1044">
        <f>IFERROR(MIN(4,MATCH(Application!B736,UnitSizes,0)-1),"")</f>
        <v>1</v>
      </c>
      <c r="M38" s="1065">
        <f>Application!G736</f>
        <v>1</v>
      </c>
      <c r="N38" s="1071">
        <f>Application!AC736</f>
        <v>0.3</v>
      </c>
      <c r="O38" s="1071">
        <f>IF(Cdlac[[#This Row],[Quantity]]&gt;0,IF(Cdlac[[#This Row],[Federal]],30%,IF(AND(OR(NOT($G$38),$G$38=""),$G$43),40%,Cdlac[[#This Row],[iAMI]])),"")</f>
        <v>0.3</v>
      </c>
      <c r="P38" s="1065" cm="1">
        <f t="array" ref="P38">IF(Cdlac[[#This Row],[Quantity]]&gt;0,INDEX(TcacRents,$P$18,Cdlac[[#This Row],[Bedrooms]]+1)*Cdlac[[#This Row],[AMI]],"")</f>
        <v>852</v>
      </c>
      <c r="Q38" s="1164"/>
      <c r="R38" s="1065" cm="1">
        <f t="array" ref="R38">IF(Cdlac[[#This Row],[Quantity]]&gt;0,INDEX(HudFmrs,$P$18,Cdlac[[#This Row],[Bedrooms]]+1),"")</f>
        <v>2081</v>
      </c>
      <c r="S38" s="1065">
        <f>IF(Cdlac[[#This Row],[Quantity]]&gt;0,MAX(0,Cdlac[[#This Row],[Fair Market Rent]]-IF(AND($G$37,$G$38,$G$38&lt;&gt;"",NOT(Cdlac[[#This Row],[Federal]]),Cdlac[[#This Row],[Preservation Rent]]&lt;&gt;""),Cdlac[[#This Row],[Preservation Rent]],Cdlac[[#This Row],[Restricted Rent]])),"")</f>
        <v>1229</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1</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f>IFERROR(MIN(4,MATCH(Application!B737,UnitSizes,0)-1),"")</f>
        <v>1</v>
      </c>
      <c r="M39" s="1065">
        <f>Application!G737</f>
        <v>2</v>
      </c>
      <c r="N39" s="1071">
        <f>Application!AC737</f>
        <v>0.5</v>
      </c>
      <c r="O39" s="1071">
        <f>IF(Cdlac[[#This Row],[Quantity]]&gt;0,IF(Cdlac[[#This Row],[Federal]],30%,IF(AND(OR(NOT($G$38),$G$38=""),$G$43),40%,Cdlac[[#This Row],[iAMI]])),"")</f>
        <v>0.3</v>
      </c>
      <c r="P39" s="1065" cm="1">
        <f t="array" ref="P39">IF(Cdlac[[#This Row],[Quantity]]&gt;0,INDEX(TcacRents,$P$18,Cdlac[[#This Row],[Bedrooms]]+1)*Cdlac[[#This Row],[AMI]],"")</f>
        <v>852</v>
      </c>
      <c r="Q39" s="1164"/>
      <c r="R39" s="1065" cm="1">
        <f t="array" ref="R39">IF(Cdlac[[#This Row],[Quantity]]&gt;0,INDEX(HudFmrs,$P$18,Cdlac[[#This Row],[Bedrooms]]+1),"")</f>
        <v>2081</v>
      </c>
      <c r="S39" s="1065">
        <f>IF(Cdlac[[#This Row],[Quantity]]&gt;0,MAX(0,Cdlac[[#This Row],[Fair Market Rent]]-IF(AND($G$37,$G$38,$G$38&lt;&gt;"",NOT(Cdlac[[#This Row],[Federal]]),Cdlac[[#This Row],[Preservation Rent]]&lt;&gt;""),Cdlac[[#This Row],[Preservation Rent]],Cdlac[[#This Row],[Restricted Rent]])),"")</f>
        <v>1229</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1</v>
      </c>
    </row>
    <row r="40" spans="1:21" ht="15" customHeight="1">
      <c r="C40" s="2687"/>
      <c r="D40" s="2687"/>
      <c r="E40" s="2687"/>
      <c r="F40" s="2687"/>
      <c r="G40" s="2687"/>
      <c r="H40" s="2687"/>
      <c r="L40" s="1044">
        <f>IFERROR(MIN(4,MATCH(Application!B738,UnitSizes,0)-1),"")</f>
        <v>1</v>
      </c>
      <c r="M40" s="1065">
        <f>Application!G738</f>
        <v>1</v>
      </c>
      <c r="N40" s="1071">
        <f>Application!AC738</f>
        <v>0.3</v>
      </c>
      <c r="O40" s="1071">
        <f>IF(Cdlac[[#This Row],[Quantity]]&gt;0,IF(Cdlac[[#This Row],[Federal]],30%,IF(AND(OR(NOT($G$38),$G$38=""),$G$43),40%,Cdlac[[#This Row],[iAMI]])),"")</f>
        <v>0.3</v>
      </c>
      <c r="P40" s="1065" cm="1">
        <f t="array" ref="P40">IF(Cdlac[[#This Row],[Quantity]]&gt;0,INDEX(TcacRents,$P$18,Cdlac[[#This Row],[Bedrooms]]+1)*Cdlac[[#This Row],[AMI]],"")</f>
        <v>852</v>
      </c>
      <c r="Q40" s="1164"/>
      <c r="R40" s="1065" cm="1">
        <f t="array" ref="R40">IF(Cdlac[[#This Row],[Quantity]]&gt;0,INDEX(HudFmrs,$P$18,Cdlac[[#This Row],[Bedrooms]]+1),"")</f>
        <v>2081</v>
      </c>
      <c r="S40" s="1065">
        <f>IF(Cdlac[[#This Row],[Quantity]]&gt;0,MAX(0,Cdlac[[#This Row],[Fair Market Rent]]-IF(AND($G$37,$G$38,$G$38&lt;&gt;"",NOT(Cdlac[[#This Row],[Federal]]),Cdlac[[#This Row],[Preservation Rent]]&lt;&gt;""),Cdlac[[#This Row],[Preservation Rent]],Cdlac[[#This Row],[Restricted Rent]])),"")</f>
        <v>1229</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1</v>
      </c>
    </row>
    <row r="41" spans="1:21" ht="15" customHeight="1">
      <c r="C41" s="2687"/>
      <c r="D41" s="2687"/>
      <c r="E41" s="2687"/>
      <c r="F41" s="2687"/>
      <c r="G41" s="2687"/>
      <c r="H41" s="2687"/>
      <c r="L41" s="1044">
        <f>IFERROR(MIN(4,MATCH(Application!B739,UnitSizes,0)-1),"")</f>
        <v>1</v>
      </c>
      <c r="M41" s="1065">
        <f>Application!G739</f>
        <v>1</v>
      </c>
      <c r="N41" s="1071">
        <f>Application!AC739</f>
        <v>0.5</v>
      </c>
      <c r="O41" s="1071">
        <f>IF(Cdlac[[#This Row],[Quantity]]&gt;0,IF(Cdlac[[#This Row],[Federal]],30%,IF(AND(OR(NOT($G$38),$G$38=""),$G$43),40%,Cdlac[[#This Row],[iAMI]])),"")</f>
        <v>0.3</v>
      </c>
      <c r="P41" s="1065" cm="1">
        <f t="array" ref="P41">IF(Cdlac[[#This Row],[Quantity]]&gt;0,INDEX(TcacRents,$P$18,Cdlac[[#This Row],[Bedrooms]]+1)*Cdlac[[#This Row],[AMI]],"")</f>
        <v>852</v>
      </c>
      <c r="Q41" s="1164"/>
      <c r="R41" s="1065" cm="1">
        <f t="array" ref="R41">IF(Cdlac[[#This Row],[Quantity]]&gt;0,INDEX(HudFmrs,$P$18,Cdlac[[#This Row],[Bedrooms]]+1),"")</f>
        <v>2081</v>
      </c>
      <c r="S41" s="1065">
        <f>IF(Cdlac[[#This Row],[Quantity]]&gt;0,MAX(0,Cdlac[[#This Row],[Fair Market Rent]]-IF(AND($G$37,$G$38,$G$38&lt;&gt;"",NOT(Cdlac[[#This Row],[Federal]]),Cdlac[[#This Row],[Preservation Rent]]&lt;&gt;""),Cdlac[[#This Row],[Preservation Rent]],Cdlac[[#This Row],[Restricted Rent]])),"")</f>
        <v>1229</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1</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99124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17842320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13</v>
      </c>
    </row>
    <row r="61" spans="2:21" ht="15" customHeight="1">
      <c r="E61" s="1117" t="s">
        <v>1995</v>
      </c>
      <c r="G61" s="1079">
        <f>ROUNDDOWN(E29*50%,0)</f>
        <v>46</v>
      </c>
    </row>
    <row r="62" spans="2:21" ht="15" customHeight="1">
      <c r="E62" s="1117"/>
      <c r="G62" s="1079"/>
    </row>
    <row r="63" spans="2:21" ht="15" customHeight="1">
      <c r="E63" s="1117" t="s">
        <v>1955</v>
      </c>
      <c r="G63" s="1114">
        <f>MIN(G60:G61)</f>
        <v>13</v>
      </c>
    </row>
    <row r="64" spans="2:21" ht="15" customHeight="1">
      <c r="E64" s="1117" t="s">
        <v>1945</v>
      </c>
      <c r="F64" s="1113" t="s">
        <v>1993</v>
      </c>
      <c r="G64" s="1124">
        <v>20000</v>
      </c>
    </row>
    <row r="65" spans="2:14" ht="15" customHeight="1">
      <c r="E65" s="1118" t="s">
        <v>1977</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Missing/Insufficient Data</v>
      </c>
      <c r="L72" s="2657" t="s">
        <v>1970</v>
      </c>
      <c r="M72" s="2658"/>
      <c r="N72" s="1131">
        <v>30000</v>
      </c>
    </row>
    <row r="73" spans="2:14" ht="15" customHeight="1">
      <c r="C73" s="2659" t="s">
        <v>2262</v>
      </c>
      <c r="D73" s="2659"/>
      <c r="E73" s="2659"/>
      <c r="F73" s="2659"/>
      <c r="G73" s="1043"/>
      <c r="L73" s="2674" t="s">
        <v>1938</v>
      </c>
      <c r="M73" s="2675"/>
      <c r="N73" s="1132">
        <v>20000</v>
      </c>
    </row>
    <row r="74" spans="2:14" ht="15" customHeight="1" thickBot="1">
      <c r="C74" s="2659"/>
      <c r="D74" s="2659"/>
      <c r="E74" s="2659"/>
      <c r="F74" s="2659"/>
      <c r="L74" s="2649" t="s">
        <v>1971</v>
      </c>
      <c r="M74" s="2650"/>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83.7</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83.7</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83.7</v>
      </c>
    </row>
    <row r="97" spans="2:14" ht="15" customHeight="1">
      <c r="E97" s="1118" t="s">
        <v>1962</v>
      </c>
      <c r="F97" s="1046"/>
      <c r="G97" s="1123">
        <f>G94*G95*G96</f>
        <v>2008800</v>
      </c>
      <c r="L97" s="1127" t="str">
        <f>'Points System'!H638</f>
        <v>(i)</v>
      </c>
      <c r="M97" s="2655" t="s">
        <v>1406</v>
      </c>
      <c r="N97" s="2656"/>
    </row>
    <row r="98" spans="2:14" ht="15" customHeight="1">
      <c r="C98" s="1077"/>
      <c r="G98" s="1114"/>
      <c r="L98" s="1128" t="str">
        <f>'Points System'!H650</f>
        <v>N/A</v>
      </c>
      <c r="M98" s="2651" t="s">
        <v>1957</v>
      </c>
      <c r="N98" s="2652"/>
    </row>
    <row r="99" spans="2:14" ht="15" customHeight="1">
      <c r="E99" s="1084" t="s">
        <v>1998</v>
      </c>
      <c r="G99" s="1126">
        <f>COUNTIFS(L97:L104,"(i)")</f>
        <v>4</v>
      </c>
      <c r="L99" s="1128" t="str">
        <f>'Points System'!H685</f>
        <v>(i)</v>
      </c>
      <c r="M99" s="2651" t="s">
        <v>1958</v>
      </c>
      <c r="N99" s="2652"/>
    </row>
    <row r="100" spans="2:14" ht="15" customHeight="1">
      <c r="E100" s="1084" t="s">
        <v>1945</v>
      </c>
      <c r="F100" s="1113" t="s">
        <v>1993</v>
      </c>
      <c r="G100" s="1124">
        <v>4000</v>
      </c>
      <c r="L100" s="1128" t="str">
        <f>IF(OR('Points System'!H709="(ii)",'Points System'!H709="(i)"),"(i)","N/A")</f>
        <v>N/A</v>
      </c>
      <c r="M100" s="2651" t="s">
        <v>1959</v>
      </c>
      <c r="N100" s="2652"/>
    </row>
    <row r="101" spans="2:14" ht="15" customHeight="1">
      <c r="E101" s="1118" t="s">
        <v>1963</v>
      </c>
      <c r="F101" s="1046"/>
      <c r="G101" s="1123">
        <f>G96*G99*G100</f>
        <v>1339200</v>
      </c>
      <c r="L101" s="1129" t="str">
        <f>'Points System'!H723</f>
        <v>N/A</v>
      </c>
      <c r="M101" s="2651" t="s">
        <v>1432</v>
      </c>
      <c r="N101" s="2652"/>
    </row>
    <row r="102" spans="2:14" ht="15" customHeight="1">
      <c r="L102" s="1128" t="str">
        <f>'Points System'!H735</f>
        <v>N/A</v>
      </c>
      <c r="M102" s="2651" t="s">
        <v>1960</v>
      </c>
      <c r="N102" s="2652"/>
    </row>
    <row r="103" spans="2:14" ht="15" customHeight="1">
      <c r="C103" s="1080" t="s">
        <v>1965</v>
      </c>
      <c r="L103" s="1128" t="str">
        <f>'Points System'!H751</f>
        <v>(i)</v>
      </c>
      <c r="M103" s="2651" t="s">
        <v>1961</v>
      </c>
      <c r="N103" s="2652"/>
    </row>
    <row r="104" spans="2:14" ht="15" customHeight="1" thickBot="1">
      <c r="C104" s="1077" t="s">
        <v>1966</v>
      </c>
      <c r="G104" s="1043"/>
      <c r="L104" s="1130" t="str">
        <f>'Points System'!H763</f>
        <v>(i)</v>
      </c>
      <c r="M104" s="2653" t="s">
        <v>1435</v>
      </c>
      <c r="N104" s="2654"/>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83.7</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3348000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2227</v>
      </c>
      <c r="D119" s="2686"/>
      <c r="E119" s="2686"/>
      <c r="F119" s="2686"/>
    </row>
    <row r="120" spans="2:9" ht="15" customHeight="1">
      <c r="C120" s="2686"/>
      <c r="D120" s="2686"/>
      <c r="E120" s="2686"/>
      <c r="F120" s="2686"/>
      <c r="G120" s="1043"/>
    </row>
    <row r="121" spans="2:9" ht="15" customHeight="1"/>
    <row r="122" spans="2:9" ht="15" customHeight="1">
      <c r="C122" s="1044" t="s">
        <v>2229</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83" t="s">
        <v>2275</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1612500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zoomScale="70" zoomScaleNormal="70" workbookViewId="0">
      <selection activeCell="F25" sqref="F25"/>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0" t="s">
        <v>910</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3.4">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3</v>
      </c>
      <c r="C4" s="1162" t="s">
        <v>385</v>
      </c>
      <c r="D4" s="428">
        <f>Application!O718</f>
        <v>795</v>
      </c>
      <c r="E4" s="429"/>
      <c r="F4" s="1083">
        <v>1745</v>
      </c>
      <c r="G4" s="428">
        <f>F4*B4</f>
        <v>5235</v>
      </c>
      <c r="H4" s="429"/>
      <c r="I4" s="428">
        <f t="shared" ref="I4:I27" si="0">IF(F4=0,"",(F4-D4))</f>
        <v>950</v>
      </c>
      <c r="J4" s="428">
        <f t="shared" ref="J4:J27" si="1">IF(F4=0,"",(I4*B4))</f>
        <v>2850</v>
      </c>
      <c r="K4" s="204"/>
      <c r="L4" s="305"/>
    </row>
    <row r="5" spans="1:12">
      <c r="A5" s="428" t="str">
        <f>Application!B719</f>
        <v>SRO/Studio</v>
      </c>
      <c r="B5" s="1082">
        <f>Application!G719</f>
        <v>12</v>
      </c>
      <c r="C5" s="1162" t="s">
        <v>385</v>
      </c>
      <c r="D5" s="428">
        <f>Application!O719</f>
        <v>1325</v>
      </c>
      <c r="E5" s="429"/>
      <c r="F5" s="1083">
        <v>1745</v>
      </c>
      <c r="G5" s="428">
        <f t="shared" ref="G5:G38" si="2">F5*B5</f>
        <v>20940</v>
      </c>
      <c r="H5" s="429"/>
      <c r="I5" s="428">
        <f t="shared" si="0"/>
        <v>420</v>
      </c>
      <c r="J5" s="428">
        <f t="shared" si="1"/>
        <v>5040</v>
      </c>
      <c r="K5" s="204"/>
      <c r="L5" s="305"/>
    </row>
    <row r="6" spans="1:12">
      <c r="A6" s="428" t="str">
        <f>Application!B720</f>
        <v>SRO/Studio</v>
      </c>
      <c r="B6" s="1082">
        <f>Application!G720</f>
        <v>14</v>
      </c>
      <c r="C6" s="1162" t="s">
        <v>385</v>
      </c>
      <c r="D6" s="428">
        <f>Application!O720</f>
        <v>1590</v>
      </c>
      <c r="E6" s="429"/>
      <c r="F6" s="1083">
        <v>1745</v>
      </c>
      <c r="G6" s="428">
        <f t="shared" si="2"/>
        <v>24430</v>
      </c>
      <c r="H6" s="429"/>
      <c r="I6" s="428">
        <f t="shared" si="0"/>
        <v>155</v>
      </c>
      <c r="J6" s="428">
        <f t="shared" si="1"/>
        <v>2170</v>
      </c>
      <c r="K6" s="204"/>
      <c r="L6" s="305"/>
    </row>
    <row r="7" spans="1:12">
      <c r="A7" s="428" t="str">
        <f>Application!B721</f>
        <v>SRO/Studio</v>
      </c>
      <c r="B7" s="1082">
        <f>Application!G721</f>
        <v>1</v>
      </c>
      <c r="C7" s="1162" t="s">
        <v>385</v>
      </c>
      <c r="D7" s="428">
        <f>Application!O721</f>
        <v>795</v>
      </c>
      <c r="E7" s="429"/>
      <c r="F7" s="1083">
        <v>1945</v>
      </c>
      <c r="G7" s="428">
        <f t="shared" si="2"/>
        <v>1945</v>
      </c>
      <c r="H7" s="429"/>
      <c r="I7" s="428">
        <f t="shared" si="0"/>
        <v>1150</v>
      </c>
      <c r="J7" s="428">
        <f t="shared" si="1"/>
        <v>1150</v>
      </c>
      <c r="K7" s="204"/>
      <c r="L7" s="305"/>
    </row>
    <row r="8" spans="1:12">
      <c r="A8" s="428" t="str">
        <f>Application!B722</f>
        <v>SRO/Studio</v>
      </c>
      <c r="B8" s="1082">
        <f>Application!G722</f>
        <v>3</v>
      </c>
      <c r="C8" s="1162" t="s">
        <v>385</v>
      </c>
      <c r="D8" s="428">
        <f>Application!O722</f>
        <v>1325</v>
      </c>
      <c r="E8" s="429"/>
      <c r="F8" s="1083">
        <v>1945</v>
      </c>
      <c r="G8" s="428">
        <f t="shared" si="2"/>
        <v>5835</v>
      </c>
      <c r="H8" s="429"/>
      <c r="I8" s="428">
        <f t="shared" si="0"/>
        <v>620</v>
      </c>
      <c r="J8" s="428">
        <f t="shared" si="1"/>
        <v>1860</v>
      </c>
      <c r="K8" s="204"/>
      <c r="L8" s="305"/>
    </row>
    <row r="9" spans="1:12">
      <c r="A9" s="428" t="str">
        <f>Application!B723</f>
        <v>SRO/Studio</v>
      </c>
      <c r="B9" s="1082">
        <f>Application!G723</f>
        <v>4</v>
      </c>
      <c r="C9" s="1162" t="s">
        <v>385</v>
      </c>
      <c r="D9" s="428">
        <f>Application!O723</f>
        <v>1590</v>
      </c>
      <c r="E9" s="429"/>
      <c r="F9" s="1083">
        <v>1945</v>
      </c>
      <c r="G9" s="428">
        <f t="shared" si="2"/>
        <v>7780</v>
      </c>
      <c r="H9" s="429"/>
      <c r="I9" s="428">
        <f t="shared" si="0"/>
        <v>355</v>
      </c>
      <c r="J9" s="428">
        <f t="shared" si="1"/>
        <v>1420</v>
      </c>
      <c r="K9" s="204"/>
      <c r="L9" s="305"/>
    </row>
    <row r="10" spans="1:12">
      <c r="A10" s="428" t="str">
        <f>Application!B724</f>
        <v>SRO/Studio</v>
      </c>
      <c r="B10" s="1082">
        <f>Application!G724</f>
        <v>1</v>
      </c>
      <c r="C10" s="1162" t="s">
        <v>385</v>
      </c>
      <c r="D10" s="428">
        <f>Application!O724</f>
        <v>795</v>
      </c>
      <c r="E10" s="429"/>
      <c r="F10" s="1083">
        <v>1970</v>
      </c>
      <c r="G10" s="428">
        <f t="shared" si="2"/>
        <v>1970</v>
      </c>
      <c r="H10" s="429"/>
      <c r="I10" s="428">
        <f t="shared" si="0"/>
        <v>1175</v>
      </c>
      <c r="J10" s="428">
        <f t="shared" si="1"/>
        <v>1175</v>
      </c>
      <c r="K10" s="204"/>
      <c r="L10" s="305"/>
    </row>
    <row r="11" spans="1:12">
      <c r="A11" s="428" t="str">
        <f>Application!B725</f>
        <v>SRO/Studio</v>
      </c>
      <c r="B11" s="1082">
        <f>Application!G725</f>
        <v>3</v>
      </c>
      <c r="C11" s="1162" t="s">
        <v>385</v>
      </c>
      <c r="D11" s="428">
        <f>Application!O725</f>
        <v>1325</v>
      </c>
      <c r="E11" s="429"/>
      <c r="F11" s="1083">
        <v>1970</v>
      </c>
      <c r="G11" s="428">
        <f t="shared" si="2"/>
        <v>5910</v>
      </c>
      <c r="H11" s="429"/>
      <c r="I11" s="428">
        <f t="shared" si="0"/>
        <v>645</v>
      </c>
      <c r="J11" s="428">
        <f t="shared" si="1"/>
        <v>1935</v>
      </c>
      <c r="K11" s="204"/>
      <c r="L11" s="305"/>
    </row>
    <row r="12" spans="1:12">
      <c r="A12" s="428" t="str">
        <f>Application!B726</f>
        <v>SRO/Studio</v>
      </c>
      <c r="B12" s="1082">
        <f>Application!G726</f>
        <v>3</v>
      </c>
      <c r="C12" s="1162" t="s">
        <v>385</v>
      </c>
      <c r="D12" s="428">
        <f>Application!O726</f>
        <v>1590</v>
      </c>
      <c r="E12" s="429"/>
      <c r="F12" s="1083">
        <v>1970</v>
      </c>
      <c r="G12" s="428">
        <f t="shared" si="2"/>
        <v>5910</v>
      </c>
      <c r="H12" s="429"/>
      <c r="I12" s="428">
        <f t="shared" si="0"/>
        <v>380</v>
      </c>
      <c r="J12" s="428">
        <f t="shared" si="1"/>
        <v>1140</v>
      </c>
      <c r="K12" s="204"/>
      <c r="L12" s="305"/>
    </row>
    <row r="13" spans="1:12">
      <c r="A13" s="428" t="str">
        <f>Application!B727</f>
        <v>SRO/Studio</v>
      </c>
      <c r="B13" s="1082">
        <f>Application!G727</f>
        <v>3</v>
      </c>
      <c r="C13" s="1162" t="s">
        <v>385</v>
      </c>
      <c r="D13" s="428">
        <f>Application!O727</f>
        <v>795</v>
      </c>
      <c r="E13" s="429"/>
      <c r="F13" s="1083">
        <v>1785</v>
      </c>
      <c r="G13" s="428">
        <f t="shared" si="2"/>
        <v>5355</v>
      </c>
      <c r="H13" s="429"/>
      <c r="I13" s="428">
        <f t="shared" si="0"/>
        <v>990</v>
      </c>
      <c r="J13" s="428">
        <f t="shared" si="1"/>
        <v>2970</v>
      </c>
      <c r="K13" s="204"/>
      <c r="L13" s="305"/>
    </row>
    <row r="14" spans="1:12">
      <c r="A14" s="428" t="str">
        <f>Application!B728</f>
        <v>SRO/Studio</v>
      </c>
      <c r="B14" s="1082">
        <f>Application!G728</f>
        <v>9</v>
      </c>
      <c r="C14" s="1162" t="s">
        <v>385</v>
      </c>
      <c r="D14" s="428">
        <f>Application!O728</f>
        <v>1325</v>
      </c>
      <c r="E14" s="429"/>
      <c r="F14" s="1083">
        <v>1785</v>
      </c>
      <c r="G14" s="428">
        <f t="shared" si="2"/>
        <v>16065</v>
      </c>
      <c r="H14" s="429"/>
      <c r="I14" s="428">
        <f t="shared" si="0"/>
        <v>460</v>
      </c>
      <c r="J14" s="428">
        <f t="shared" si="1"/>
        <v>4140</v>
      </c>
      <c r="K14" s="204"/>
      <c r="L14" s="305"/>
    </row>
    <row r="15" spans="1:12">
      <c r="A15" s="428" t="str">
        <f>Application!B729</f>
        <v>SRO/Studio</v>
      </c>
      <c r="B15" s="1082">
        <f>Application!G729</f>
        <v>12</v>
      </c>
      <c r="C15" s="1162" t="s">
        <v>385</v>
      </c>
      <c r="D15" s="428">
        <f>Application!O729</f>
        <v>1590</v>
      </c>
      <c r="E15" s="429"/>
      <c r="F15" s="1083">
        <v>1785</v>
      </c>
      <c r="G15" s="428">
        <f t="shared" si="2"/>
        <v>21420</v>
      </c>
      <c r="H15" s="429"/>
      <c r="I15" s="428">
        <f t="shared" si="0"/>
        <v>195</v>
      </c>
      <c r="J15" s="428">
        <f t="shared" si="1"/>
        <v>2340</v>
      </c>
      <c r="K15" s="204"/>
      <c r="L15" s="305"/>
    </row>
    <row r="16" spans="1:12">
      <c r="A16" s="428" t="str">
        <f>Application!B730</f>
        <v>SRO/Studio</v>
      </c>
      <c r="B16" s="1082">
        <f>Application!G730</f>
        <v>2</v>
      </c>
      <c r="C16" s="1162" t="s">
        <v>385</v>
      </c>
      <c r="D16" s="428">
        <f>Application!O730</f>
        <v>795</v>
      </c>
      <c r="E16" s="429"/>
      <c r="F16" s="1083">
        <v>1970</v>
      </c>
      <c r="G16" s="428">
        <f t="shared" si="2"/>
        <v>3940</v>
      </c>
      <c r="H16" s="429"/>
      <c r="I16" s="428">
        <f t="shared" si="0"/>
        <v>1175</v>
      </c>
      <c r="J16" s="428">
        <f t="shared" si="1"/>
        <v>2350</v>
      </c>
      <c r="K16" s="204"/>
      <c r="L16" s="305"/>
    </row>
    <row r="17" spans="1:12">
      <c r="A17" s="428" t="str">
        <f>Application!B731</f>
        <v>SRO/Studio</v>
      </c>
      <c r="B17" s="1082">
        <f>Application!G731</f>
        <v>6</v>
      </c>
      <c r="C17" s="1162" t="s">
        <v>385</v>
      </c>
      <c r="D17" s="428">
        <f>Application!O731</f>
        <v>1325</v>
      </c>
      <c r="E17" s="429"/>
      <c r="F17" s="1083">
        <v>1970</v>
      </c>
      <c r="G17" s="428">
        <f t="shared" si="2"/>
        <v>11820</v>
      </c>
      <c r="H17" s="429"/>
      <c r="I17" s="428">
        <f t="shared" si="0"/>
        <v>645</v>
      </c>
      <c r="J17" s="428">
        <f t="shared" si="1"/>
        <v>3870</v>
      </c>
      <c r="K17" s="204"/>
      <c r="L17" s="305"/>
    </row>
    <row r="18" spans="1:12">
      <c r="A18" s="428" t="str">
        <f>Application!B732</f>
        <v>SRO/Studio</v>
      </c>
      <c r="B18" s="1082">
        <f>Application!G732</f>
        <v>7</v>
      </c>
      <c r="C18" s="1162" t="s">
        <v>385</v>
      </c>
      <c r="D18" s="428">
        <f>Application!O732</f>
        <v>1590</v>
      </c>
      <c r="E18" s="429"/>
      <c r="F18" s="1083">
        <v>1970</v>
      </c>
      <c r="G18" s="428">
        <f t="shared" si="2"/>
        <v>13790</v>
      </c>
      <c r="H18" s="429"/>
      <c r="I18" s="428">
        <f t="shared" si="0"/>
        <v>380</v>
      </c>
      <c r="J18" s="428">
        <f t="shared" si="1"/>
        <v>2660</v>
      </c>
      <c r="K18" s="204"/>
      <c r="L18" s="305"/>
    </row>
    <row r="19" spans="1:12">
      <c r="A19" s="428" t="str">
        <f>Application!B733</f>
        <v>1 Bedroom</v>
      </c>
      <c r="B19" s="1082">
        <f>Application!G733</f>
        <v>1</v>
      </c>
      <c r="C19" s="1162" t="s">
        <v>385</v>
      </c>
      <c r="D19" s="428">
        <f>Application!O733</f>
        <v>852</v>
      </c>
      <c r="E19" s="429"/>
      <c r="F19" s="1083">
        <v>2215</v>
      </c>
      <c r="G19" s="428">
        <f t="shared" si="2"/>
        <v>2215</v>
      </c>
      <c r="H19" s="429"/>
      <c r="I19" s="428">
        <f t="shared" si="0"/>
        <v>1363</v>
      </c>
      <c r="J19" s="428">
        <f t="shared" si="1"/>
        <v>1363</v>
      </c>
      <c r="K19" s="204"/>
      <c r="L19" s="305"/>
    </row>
    <row r="20" spans="1:12">
      <c r="A20" s="428" t="str">
        <f>Application!B734</f>
        <v>1 Bedroom</v>
      </c>
      <c r="B20" s="1082">
        <f>Application!G734</f>
        <v>1</v>
      </c>
      <c r="C20" s="1162" t="s">
        <v>385</v>
      </c>
      <c r="D20" s="428">
        <f>Application!O734</f>
        <v>1420</v>
      </c>
      <c r="E20" s="429"/>
      <c r="F20" s="1083">
        <v>2215</v>
      </c>
      <c r="G20" s="428">
        <f t="shared" si="2"/>
        <v>2215</v>
      </c>
      <c r="H20" s="429"/>
      <c r="I20" s="428">
        <f t="shared" si="0"/>
        <v>795</v>
      </c>
      <c r="J20" s="428">
        <f t="shared" si="1"/>
        <v>795</v>
      </c>
      <c r="K20" s="204"/>
      <c r="L20" s="305"/>
    </row>
    <row r="21" spans="1:12">
      <c r="A21" s="428" t="str">
        <f>Application!B735</f>
        <v>1 Bedroom</v>
      </c>
      <c r="B21" s="1082">
        <f>Application!G735</f>
        <v>2</v>
      </c>
      <c r="C21" s="1162" t="s">
        <v>385</v>
      </c>
      <c r="D21" s="428">
        <f>Application!O735</f>
        <v>1704</v>
      </c>
      <c r="E21" s="429"/>
      <c r="F21" s="1083">
        <v>2215</v>
      </c>
      <c r="G21" s="428">
        <f t="shared" si="2"/>
        <v>4430</v>
      </c>
      <c r="H21" s="429"/>
      <c r="I21" s="428">
        <f t="shared" si="0"/>
        <v>511</v>
      </c>
      <c r="J21" s="428">
        <f t="shared" si="1"/>
        <v>1022</v>
      </c>
      <c r="K21" s="204"/>
      <c r="L21" s="305"/>
    </row>
    <row r="22" spans="1:12">
      <c r="A22" s="428" t="str">
        <f>Application!B736</f>
        <v>1 Bedroom</v>
      </c>
      <c r="B22" s="1082">
        <f>Application!G736</f>
        <v>1</v>
      </c>
      <c r="C22" s="1162" t="s">
        <v>385</v>
      </c>
      <c r="D22" s="428">
        <f>Application!O736</f>
        <v>852</v>
      </c>
      <c r="E22" s="429"/>
      <c r="F22" s="1083">
        <v>2045</v>
      </c>
      <c r="G22" s="428">
        <f t="shared" si="2"/>
        <v>2045</v>
      </c>
      <c r="H22" s="429"/>
      <c r="I22" s="428">
        <f t="shared" si="0"/>
        <v>1193</v>
      </c>
      <c r="J22" s="428">
        <f t="shared" si="1"/>
        <v>1193</v>
      </c>
      <c r="K22" s="204"/>
      <c r="L22" s="305"/>
    </row>
    <row r="23" spans="1:12">
      <c r="A23" s="428" t="str">
        <f>Application!B737</f>
        <v>1 Bedroom</v>
      </c>
      <c r="B23" s="1082">
        <f>Application!G737</f>
        <v>2</v>
      </c>
      <c r="C23" s="1162" t="s">
        <v>385</v>
      </c>
      <c r="D23" s="428">
        <f>Application!O737</f>
        <v>1420</v>
      </c>
      <c r="E23" s="429"/>
      <c r="F23" s="1083">
        <v>2045</v>
      </c>
      <c r="G23" s="428">
        <f t="shared" si="2"/>
        <v>4090</v>
      </c>
      <c r="H23" s="429"/>
      <c r="I23" s="428">
        <f t="shared" si="0"/>
        <v>625</v>
      </c>
      <c r="J23" s="428">
        <f t="shared" si="1"/>
        <v>1250</v>
      </c>
      <c r="K23" s="204"/>
      <c r="L23" s="305"/>
    </row>
    <row r="24" spans="1:12">
      <c r="A24" s="428" t="str">
        <f>Application!B738</f>
        <v>1 Bedroom</v>
      </c>
      <c r="B24" s="1082">
        <f>Application!G738</f>
        <v>1</v>
      </c>
      <c r="C24" s="1162" t="s">
        <v>385</v>
      </c>
      <c r="D24" s="428">
        <f>Application!O738</f>
        <v>852</v>
      </c>
      <c r="E24" s="429"/>
      <c r="F24" s="1083">
        <v>2115</v>
      </c>
      <c r="G24" s="428">
        <f t="shared" si="2"/>
        <v>2115</v>
      </c>
      <c r="H24" s="429"/>
      <c r="I24" s="428">
        <f t="shared" si="0"/>
        <v>1263</v>
      </c>
      <c r="J24" s="428">
        <f t="shared" si="1"/>
        <v>1263</v>
      </c>
      <c r="K24" s="204"/>
      <c r="L24" s="305"/>
    </row>
    <row r="25" spans="1:12">
      <c r="A25" s="428" t="str">
        <f>Application!B739</f>
        <v>1 Bedroom</v>
      </c>
      <c r="B25" s="1082">
        <f>Application!G739</f>
        <v>1</v>
      </c>
      <c r="C25" s="1162" t="s">
        <v>385</v>
      </c>
      <c r="D25" s="428">
        <f>Application!O739</f>
        <v>1420</v>
      </c>
      <c r="E25" s="429"/>
      <c r="F25" s="1083">
        <v>2115</v>
      </c>
      <c r="G25" s="428">
        <f t="shared" si="2"/>
        <v>2115</v>
      </c>
      <c r="H25" s="429"/>
      <c r="I25" s="428">
        <f t="shared" si="0"/>
        <v>695</v>
      </c>
      <c r="J25" s="428">
        <f t="shared" si="1"/>
        <v>695</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126919</v>
      </c>
      <c r="E40" s="429"/>
      <c r="F40" s="429"/>
      <c r="G40" s="432">
        <f>SUM(G4:G38)*12</f>
        <v>2058840</v>
      </c>
      <c r="H40" s="433"/>
      <c r="I40" s="431"/>
      <c r="J40" s="432">
        <f>SUM(J4:J38)*12</f>
        <v>535812</v>
      </c>
      <c r="K40" s="204"/>
      <c r="L40" s="306"/>
    </row>
    <row r="41" spans="1:12">
      <c r="A41" s="430"/>
      <c r="B41" s="431"/>
      <c r="C41" s="431"/>
      <c r="D41" s="433"/>
      <c r="E41" s="429"/>
      <c r="F41" s="429"/>
      <c r="G41" s="433"/>
      <c r="H41" s="433"/>
      <c r="I41" s="431"/>
      <c r="J41" s="433"/>
      <c r="K41" s="204"/>
      <c r="L41" s="306"/>
    </row>
    <row r="42" spans="1:12">
      <c r="A42" s="304" t="s">
        <v>2257</v>
      </c>
    </row>
    <row r="43" spans="1:12">
      <c r="A43" s="2691" t="s">
        <v>2496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2258</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5" zoomScale="85" zoomScaleNormal="85" workbookViewId="0">
      <selection activeCell="W63" sqref="W63"/>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1616628</v>
      </c>
      <c r="G4" s="219">
        <f>E4*$C$4</f>
        <v>1657043.7</v>
      </c>
      <c r="I4" s="219">
        <f>G4*$C$4</f>
        <v>1698469.7924999997</v>
      </c>
      <c r="K4" s="219">
        <f>I4*$C$4</f>
        <v>1740931.5373124995</v>
      </c>
      <c r="M4" s="219">
        <f>K4*$C$4</f>
        <v>1784454.8257453118</v>
      </c>
      <c r="O4" s="219">
        <f>M4*$C$4</f>
        <v>1829066.1963889445</v>
      </c>
      <c r="Q4" s="219">
        <f>O4*$C$4</f>
        <v>1874792.851298668</v>
      </c>
      <c r="S4" s="219">
        <f>Q4*$C$4</f>
        <v>1921662.6725811346</v>
      </c>
      <c r="U4" s="219">
        <f>S4*$C$4</f>
        <v>1969704.2393956627</v>
      </c>
      <c r="W4" s="219">
        <f>U4*$C$4</f>
        <v>2018946.845380554</v>
      </c>
      <c r="Y4" s="219">
        <f>W4*$C$4</f>
        <v>2069420.5165150675</v>
      </c>
      <c r="AA4" s="219">
        <f>Y4*$C$4</f>
        <v>2121156.0294279442</v>
      </c>
      <c r="AC4" s="219">
        <f>AA4*$C$4</f>
        <v>2174184.9301636429</v>
      </c>
      <c r="AE4" s="219">
        <f>AC4*$C$4</f>
        <v>2228539.5534177339</v>
      </c>
      <c r="AG4" s="219">
        <f>AE4*$C$4</f>
        <v>2284253.0422531771</v>
      </c>
    </row>
    <row r="5" spans="1:34" s="210" customFormat="1" ht="13.8">
      <c r="B5" s="210" t="s">
        <v>839</v>
      </c>
      <c r="C5" s="238">
        <f>IF(Application!$D$211="Special Needs",(((0.1*Application!$T$212)+(0.05*(1-Application!$T$212)))),0.05)</f>
        <v>0.05</v>
      </c>
      <c r="E5" s="221">
        <f>-E4*$C$5</f>
        <v>-80831.400000000009</v>
      </c>
      <c r="F5" s="221"/>
      <c r="G5" s="221">
        <f>-G4*$C$5</f>
        <v>-82852.184999999998</v>
      </c>
      <c r="H5" s="221"/>
      <c r="I5" s="221">
        <f>-I4*$C$5</f>
        <v>-84923.489624999987</v>
      </c>
      <c r="J5" s="221"/>
      <c r="K5" s="221">
        <f>-K4*$C$5</f>
        <v>-87046.576865624986</v>
      </c>
      <c r="L5" s="221"/>
      <c r="M5" s="221">
        <f>-M4*$C$5</f>
        <v>-89222.741287265599</v>
      </c>
      <c r="N5" s="221"/>
      <c r="O5" s="221">
        <f>-O4*$C$5</f>
        <v>-91453.309819447226</v>
      </c>
      <c r="P5" s="221"/>
      <c r="Q5" s="221">
        <f>-Q4*$C$5</f>
        <v>-93739.642564933398</v>
      </c>
      <c r="R5" s="221"/>
      <c r="S5" s="221">
        <f>-S4*$C$5</f>
        <v>-96083.133629056741</v>
      </c>
      <c r="T5" s="221"/>
      <c r="U5" s="221">
        <f>-U4*$C$5</f>
        <v>-98485.211969783137</v>
      </c>
      <c r="V5" s="221"/>
      <c r="W5" s="221">
        <f>-W4*$C$5</f>
        <v>-100947.34226902771</v>
      </c>
      <c r="X5" s="221"/>
      <c r="Y5" s="221">
        <f>-Y4*$C$5</f>
        <v>-103471.02582575339</v>
      </c>
      <c r="Z5" s="221"/>
      <c r="AA5" s="221">
        <f>-AA4*$C$5</f>
        <v>-106057.80147139722</v>
      </c>
      <c r="AB5" s="221"/>
      <c r="AC5" s="221">
        <f>-AC4*$C$5</f>
        <v>-108709.24650818214</v>
      </c>
      <c r="AD5" s="221"/>
      <c r="AE5" s="221">
        <f>-AE4*$C$5</f>
        <v>-111426.9776708867</v>
      </c>
      <c r="AF5" s="221"/>
      <c r="AG5" s="221">
        <f>-AG4*$C$5</f>
        <v>-114212.65211265886</v>
      </c>
    </row>
    <row r="6" spans="1:34" s="210" customFormat="1" ht="13.8">
      <c r="A6" s="210" t="s">
        <v>837</v>
      </c>
      <c r="C6" s="237">
        <v>1.0249999999999999</v>
      </c>
      <c r="E6" s="222">
        <f>Application!Z809</f>
        <v>535812</v>
      </c>
      <c r="F6" s="222"/>
      <c r="G6" s="222">
        <f>E6*$C$6</f>
        <v>549207.29999999993</v>
      </c>
      <c r="H6" s="222"/>
      <c r="I6" s="222">
        <f>G6*$C$6</f>
        <v>562937.48249999993</v>
      </c>
      <c r="J6" s="222"/>
      <c r="K6" s="222">
        <f>I6*$C$6</f>
        <v>577010.91956249985</v>
      </c>
      <c r="L6" s="222"/>
      <c r="M6" s="222">
        <f>K6*$C$6</f>
        <v>591436.19255156233</v>
      </c>
      <c r="N6" s="222"/>
      <c r="O6" s="222">
        <f>M6*$C$6</f>
        <v>606222.09736535128</v>
      </c>
      <c r="P6" s="222"/>
      <c r="Q6" s="222">
        <f>O6*$C$6</f>
        <v>621377.64979948499</v>
      </c>
      <c r="R6" s="222"/>
      <c r="S6" s="222">
        <f>Q6*$C$6</f>
        <v>636912.09104447206</v>
      </c>
      <c r="T6" s="222"/>
      <c r="U6" s="222">
        <f>S6*$C$6</f>
        <v>652834.89332058385</v>
      </c>
      <c r="V6" s="222"/>
      <c r="W6" s="222">
        <f>U6*$C$6</f>
        <v>669155.76565359836</v>
      </c>
      <c r="X6" s="222"/>
      <c r="Y6" s="222">
        <f>W6*$C$6</f>
        <v>685884.65979493828</v>
      </c>
      <c r="Z6" s="222"/>
      <c r="AA6" s="222">
        <f>Y6*$C$6</f>
        <v>703031.77628981171</v>
      </c>
      <c r="AB6" s="222"/>
      <c r="AC6" s="222">
        <f>AA6*$C$6</f>
        <v>720607.57069705694</v>
      </c>
      <c r="AD6" s="222"/>
      <c r="AE6" s="222">
        <f>AC6*$C$6</f>
        <v>738622.75996448332</v>
      </c>
      <c r="AF6" s="222"/>
      <c r="AG6" s="222">
        <f>AE6*$C$6</f>
        <v>757088.32896359533</v>
      </c>
    </row>
    <row r="7" spans="1:34" s="210" customFormat="1" ht="13.8">
      <c r="B7" s="210" t="s">
        <v>839</v>
      </c>
      <c r="C7" s="238">
        <f>IF(Application!$D$211="Special Needs",(((0.1*Application!$T$212)+(0.05*(1-Application!$T$212)))),0.05)</f>
        <v>0.05</v>
      </c>
      <c r="E7" s="221">
        <f>-E6*$C$7</f>
        <v>-26790.600000000002</v>
      </c>
      <c r="F7" s="221"/>
      <c r="G7" s="221">
        <f>-G6*$C$7</f>
        <v>-27460.364999999998</v>
      </c>
      <c r="H7" s="221"/>
      <c r="I7" s="221">
        <f>-I6*$C$7</f>
        <v>-28146.874124999998</v>
      </c>
      <c r="J7" s="221"/>
      <c r="K7" s="221">
        <f>-K6*$C$7</f>
        <v>-28850.545978124996</v>
      </c>
      <c r="L7" s="221"/>
      <c r="M7" s="221">
        <f>-M6*$C$7</f>
        <v>-29571.809627578117</v>
      </c>
      <c r="N7" s="221"/>
      <c r="O7" s="221">
        <f>-O6*$C$7</f>
        <v>-30311.104868267565</v>
      </c>
      <c r="P7" s="221"/>
      <c r="Q7" s="221">
        <f>-Q6*$C$7</f>
        <v>-31068.88248997425</v>
      </c>
      <c r="R7" s="221"/>
      <c r="S7" s="221">
        <f>-S6*$C$7</f>
        <v>-31845.604552223605</v>
      </c>
      <c r="T7" s="221"/>
      <c r="U7" s="221">
        <f>-U6*$C$7</f>
        <v>-32641.744666029193</v>
      </c>
      <c r="V7" s="221"/>
      <c r="W7" s="221">
        <f>-W6*$C$7</f>
        <v>-33457.788282679918</v>
      </c>
      <c r="X7" s="221"/>
      <c r="Y7" s="221">
        <f>-Y6*$C$7</f>
        <v>-34294.232989746917</v>
      </c>
      <c r="Z7" s="221"/>
      <c r="AA7" s="221">
        <f>-AA6*$C$7</f>
        <v>-35151.588814490584</v>
      </c>
      <c r="AB7" s="221"/>
      <c r="AC7" s="221">
        <f>-AC6*$C$7</f>
        <v>-36030.378534852847</v>
      </c>
      <c r="AD7" s="221"/>
      <c r="AE7" s="221">
        <f>-AE6*$C$7</f>
        <v>-36931.137998224171</v>
      </c>
      <c r="AF7" s="221"/>
      <c r="AG7" s="221">
        <f>-AG6*$C$7</f>
        <v>-37854.416448179771</v>
      </c>
    </row>
    <row r="8" spans="1:34" s="210" customFormat="1" ht="13.8">
      <c r="A8" s="210" t="s">
        <v>288</v>
      </c>
      <c r="C8" s="237">
        <v>1.02</v>
      </c>
      <c r="E8" s="222">
        <f>Application!Z817</f>
        <v>5000</v>
      </c>
      <c r="F8" s="222"/>
      <c r="G8" s="222">
        <f>E8*$C$8</f>
        <v>5100</v>
      </c>
      <c r="H8" s="222"/>
      <c r="I8" s="222">
        <f>G8*$C$8</f>
        <v>5202</v>
      </c>
      <c r="J8" s="222"/>
      <c r="K8" s="222">
        <f>I8*$C$8</f>
        <v>5306.04</v>
      </c>
      <c r="L8" s="222"/>
      <c r="M8" s="222">
        <f>K8*$C$8</f>
        <v>5412.1607999999997</v>
      </c>
      <c r="N8" s="222"/>
      <c r="O8" s="222">
        <f>M8*$C$8</f>
        <v>5520.4040159999995</v>
      </c>
      <c r="P8" s="222"/>
      <c r="Q8" s="222">
        <f>O8*$C$8</f>
        <v>5630.8120963199999</v>
      </c>
      <c r="R8" s="222"/>
      <c r="S8" s="222">
        <f>Q8*$C$8</f>
        <v>5743.4283382464</v>
      </c>
      <c r="T8" s="222"/>
      <c r="U8" s="222">
        <f>S8*$C$8</f>
        <v>5858.2969050113279</v>
      </c>
      <c r="V8" s="222"/>
      <c r="W8" s="222">
        <f>U8*$C$8</f>
        <v>5975.4628431115543</v>
      </c>
      <c r="X8" s="222"/>
      <c r="Y8" s="222">
        <f>W8*$C$8</f>
        <v>6094.9720999737856</v>
      </c>
      <c r="Z8" s="222"/>
      <c r="AA8" s="222">
        <f>Y8*$C$8</f>
        <v>6216.8715419732616</v>
      </c>
      <c r="AB8" s="222"/>
      <c r="AC8" s="222">
        <f>AA8*$C$8</f>
        <v>6341.2089728127266</v>
      </c>
      <c r="AD8" s="222"/>
      <c r="AE8" s="222">
        <f>AC8*$C$8</f>
        <v>6468.0331522689812</v>
      </c>
      <c r="AF8" s="222"/>
      <c r="AG8" s="222">
        <f>AE8*$C$8</f>
        <v>6597.3938153143608</v>
      </c>
    </row>
    <row r="9" spans="1:34" s="210" customFormat="1" ht="13.8">
      <c r="B9" s="210" t="s">
        <v>839</v>
      </c>
      <c r="C9" s="238">
        <f>IF(Application!$D$211="Special Needs",(((0.1*Application!$T$212)+(0.05*(1-Application!$T$212)))),0.05)</f>
        <v>0.05</v>
      </c>
      <c r="E9" s="221">
        <f>-E8*$C$9</f>
        <v>-250</v>
      </c>
      <c r="F9" s="221"/>
      <c r="G9" s="221">
        <f>-G8*$C$9</f>
        <v>-255</v>
      </c>
      <c r="H9" s="221"/>
      <c r="I9" s="221">
        <f>-I8*$C$9</f>
        <v>-260.10000000000002</v>
      </c>
      <c r="J9" s="221"/>
      <c r="K9" s="221">
        <f>-K8*$C$9</f>
        <v>-265.30200000000002</v>
      </c>
      <c r="L9" s="221"/>
      <c r="M9" s="221">
        <f>-M8*$C$9</f>
        <v>-270.60804000000002</v>
      </c>
      <c r="N9" s="221"/>
      <c r="O9" s="221">
        <f>-O8*$C$9</f>
        <v>-276.0202008</v>
      </c>
      <c r="P9" s="221"/>
      <c r="Q9" s="221">
        <f>-Q8*$C$9</f>
        <v>-281.54060481599998</v>
      </c>
      <c r="R9" s="221"/>
      <c r="S9" s="221">
        <f>-S8*$C$9</f>
        <v>-287.17141691232001</v>
      </c>
      <c r="T9" s="221"/>
      <c r="U9" s="221">
        <f>-U8*$C$9</f>
        <v>-292.91484525056643</v>
      </c>
      <c r="V9" s="221"/>
      <c r="W9" s="221">
        <f>-W8*$C$9</f>
        <v>-298.77314215557772</v>
      </c>
      <c r="X9" s="221"/>
      <c r="Y9" s="221">
        <f>-Y8*$C$9</f>
        <v>-304.7486049986893</v>
      </c>
      <c r="Z9" s="221"/>
      <c r="AA9" s="221">
        <f>-AA8*$C$9</f>
        <v>-310.8435770986631</v>
      </c>
      <c r="AB9" s="221"/>
      <c r="AC9" s="221">
        <f>-AC8*$C$9</f>
        <v>-317.06044864063637</v>
      </c>
      <c r="AD9" s="221"/>
      <c r="AE9" s="221">
        <f>-AE8*$C$9</f>
        <v>-323.40165761344906</v>
      </c>
      <c r="AF9" s="221"/>
      <c r="AG9" s="221">
        <f>-AG8*$C$9</f>
        <v>-329.86969076571808</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2049568</v>
      </c>
      <c r="G11" s="223">
        <f>SUM(G4:G10)</f>
        <v>2100783.4500000002</v>
      </c>
      <c r="I11" s="223">
        <f>SUM(I4:I10)</f>
        <v>2153278.8112499998</v>
      </c>
      <c r="K11" s="223">
        <f>SUM(K4:K10)</f>
        <v>2207086.0720312493</v>
      </c>
      <c r="M11" s="223">
        <f>SUM(M4:M10)</f>
        <v>2262238.0201420304</v>
      </c>
      <c r="O11" s="223">
        <f>SUM(O4:O10)</f>
        <v>2318768.262881781</v>
      </c>
      <c r="Q11" s="223">
        <f>SUM(Q4:Q10)</f>
        <v>2376711.2475347496</v>
      </c>
      <c r="S11" s="223">
        <f>SUM(S4:S10)</f>
        <v>2436102.2823656602</v>
      </c>
      <c r="U11" s="223">
        <f>SUM(U4:U10)</f>
        <v>2496977.558140195</v>
      </c>
      <c r="W11" s="223">
        <f>SUM(W4:W10)</f>
        <v>2559374.1701834006</v>
      </c>
      <c r="Y11" s="223">
        <f>SUM(Y4:Y10)</f>
        <v>2623330.140989481</v>
      </c>
      <c r="AA11" s="223">
        <f>SUM(AA4:AA10)</f>
        <v>2688884.4433967429</v>
      </c>
      <c r="AC11" s="223">
        <f>SUM(AC4:AC10)</f>
        <v>2756077.024341837</v>
      </c>
      <c r="AE11" s="223">
        <f>SUM(AE4:AE10)</f>
        <v>2824948.8292077621</v>
      </c>
      <c r="AG11" s="223">
        <f>SUM(AG4:AG10)</f>
        <v>2895541.8267804827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42500</v>
      </c>
      <c r="G15" s="219">
        <f>E15*$C$14</f>
        <v>43987.5</v>
      </c>
      <c r="I15" s="219">
        <f>G15*$C$14</f>
        <v>45527.0625</v>
      </c>
      <c r="K15" s="219">
        <f>I15*$C$14</f>
        <v>47120.509687499994</v>
      </c>
      <c r="M15" s="219">
        <f>K15*$C$14</f>
        <v>48769.727526562492</v>
      </c>
      <c r="O15" s="219">
        <f>M15*$C$14</f>
        <v>50476.667989992173</v>
      </c>
      <c r="Q15" s="219">
        <f>O15*$C$14</f>
        <v>52243.351369641896</v>
      </c>
      <c r="S15" s="219">
        <f>Q15*$C$14</f>
        <v>54071.868667579358</v>
      </c>
      <c r="U15" s="219">
        <f>S15*$C$14</f>
        <v>55964.38407094463</v>
      </c>
      <c r="W15" s="219">
        <f>U15*$C$14</f>
        <v>57923.13751342769</v>
      </c>
      <c r="Y15" s="219">
        <f>W15*$C$14</f>
        <v>59950.447326397654</v>
      </c>
      <c r="AA15" s="219">
        <f>Y15*$C$14</f>
        <v>62048.712982821569</v>
      </c>
      <c r="AC15" s="219">
        <f>AA15*$C$14</f>
        <v>64220.417937220322</v>
      </c>
      <c r="AE15" s="219">
        <f>AC15*$C$14</f>
        <v>66468.132565023028</v>
      </c>
      <c r="AG15" s="219">
        <f>AE15*$C$14</f>
        <v>68794.517204798831</v>
      </c>
    </row>
    <row r="16" spans="1:34" s="210" customFormat="1" ht="13.8">
      <c r="A16" s="210" t="s">
        <v>344</v>
      </c>
      <c r="C16" s="233"/>
      <c r="E16" s="222">
        <f>Application!W849</f>
        <v>82719</v>
      </c>
      <c r="F16" s="222"/>
      <c r="G16" s="222">
        <f t="shared" ref="G16:AG21" si="0">E16*$C$14</f>
        <v>85614.164999999994</v>
      </c>
      <c r="H16" s="222"/>
      <c r="I16" s="222">
        <f t="shared" si="0"/>
        <v>88610.660774999982</v>
      </c>
      <c r="J16" s="222"/>
      <c r="K16" s="222">
        <f t="shared" si="0"/>
        <v>91712.033902124967</v>
      </c>
      <c r="L16" s="222"/>
      <c r="M16" s="222">
        <f t="shared" si="0"/>
        <v>94921.955088699338</v>
      </c>
      <c r="N16" s="222"/>
      <c r="O16" s="222">
        <f t="shared" si="0"/>
        <v>98244.223516803802</v>
      </c>
      <c r="P16" s="222"/>
      <c r="Q16" s="222">
        <f t="shared" si="0"/>
        <v>101682.77133989193</v>
      </c>
      <c r="R16" s="222"/>
      <c r="S16" s="222">
        <f t="shared" si="0"/>
        <v>105241.66833678813</v>
      </c>
      <c r="T16" s="222"/>
      <c r="U16" s="222">
        <f t="shared" si="0"/>
        <v>108925.12672857571</v>
      </c>
      <c r="V16" s="222"/>
      <c r="W16" s="222">
        <f t="shared" si="0"/>
        <v>112737.50616407585</v>
      </c>
      <c r="X16" s="222"/>
      <c r="Y16" s="222">
        <f t="shared" si="0"/>
        <v>116683.3188798185</v>
      </c>
      <c r="Z16" s="222"/>
      <c r="AA16" s="222">
        <f t="shared" si="0"/>
        <v>120767.23504061214</v>
      </c>
      <c r="AB16" s="222"/>
      <c r="AC16" s="222">
        <f t="shared" si="0"/>
        <v>124994.08826703356</v>
      </c>
      <c r="AD16" s="222"/>
      <c r="AE16" s="222">
        <f t="shared" si="0"/>
        <v>129368.88135637972</v>
      </c>
      <c r="AF16" s="222"/>
      <c r="AG16" s="222">
        <f t="shared" si="0"/>
        <v>133896.79220385299</v>
      </c>
    </row>
    <row r="17" spans="1:33" s="210" customFormat="1" ht="13.8">
      <c r="A17" s="210" t="s">
        <v>562</v>
      </c>
      <c r="C17" s="233"/>
      <c r="E17" s="222">
        <f>Application!W855</f>
        <v>120000</v>
      </c>
      <c r="F17" s="222"/>
      <c r="G17" s="222">
        <f t="shared" si="0"/>
        <v>124199.99999999999</v>
      </c>
      <c r="H17" s="222"/>
      <c r="I17" s="222">
        <f t="shared" si="0"/>
        <v>128546.99999999997</v>
      </c>
      <c r="J17" s="222"/>
      <c r="K17" s="222">
        <f t="shared" si="0"/>
        <v>133046.14499999996</v>
      </c>
      <c r="L17" s="222"/>
      <c r="M17" s="222">
        <f t="shared" si="0"/>
        <v>137702.76007499994</v>
      </c>
      <c r="N17" s="222"/>
      <c r="O17" s="222">
        <f t="shared" si="0"/>
        <v>142522.35667762492</v>
      </c>
      <c r="P17" s="222"/>
      <c r="Q17" s="222">
        <f t="shared" si="0"/>
        <v>147510.63916134179</v>
      </c>
      <c r="R17" s="222"/>
      <c r="S17" s="222">
        <f t="shared" si="0"/>
        <v>152673.51153198874</v>
      </c>
      <c r="T17" s="222"/>
      <c r="U17" s="222">
        <f t="shared" si="0"/>
        <v>158017.08443560833</v>
      </c>
      <c r="V17" s="222"/>
      <c r="W17" s="222">
        <f t="shared" si="0"/>
        <v>163547.68239085461</v>
      </c>
      <c r="X17" s="222"/>
      <c r="Y17" s="222">
        <f t="shared" si="0"/>
        <v>169271.85127453451</v>
      </c>
      <c r="Z17" s="222"/>
      <c r="AA17" s="222">
        <f t="shared" si="0"/>
        <v>175196.3660691432</v>
      </c>
      <c r="AB17" s="222"/>
      <c r="AC17" s="222">
        <f t="shared" si="0"/>
        <v>181328.23888156319</v>
      </c>
      <c r="AD17" s="222"/>
      <c r="AE17" s="222">
        <f t="shared" si="0"/>
        <v>187674.7272424179</v>
      </c>
      <c r="AF17" s="222"/>
      <c r="AG17" s="222">
        <f t="shared" si="0"/>
        <v>194243.34269590251</v>
      </c>
    </row>
    <row r="18" spans="1:33" s="210" customFormat="1" ht="13.8">
      <c r="A18" s="210" t="s">
        <v>843</v>
      </c>
      <c r="C18" s="233"/>
      <c r="E18" s="222">
        <f>Application!W862</f>
        <v>216500</v>
      </c>
      <c r="F18" s="222"/>
      <c r="G18" s="222">
        <f t="shared" si="0"/>
        <v>224077.49999999997</v>
      </c>
      <c r="H18" s="222"/>
      <c r="I18" s="222">
        <f t="shared" si="0"/>
        <v>231920.21249999997</v>
      </c>
      <c r="J18" s="222"/>
      <c r="K18" s="222">
        <f t="shared" si="0"/>
        <v>240037.41993749994</v>
      </c>
      <c r="L18" s="222"/>
      <c r="M18" s="222">
        <f t="shared" si="0"/>
        <v>248438.72963531243</v>
      </c>
      <c r="N18" s="222"/>
      <c r="O18" s="222">
        <f t="shared" si="0"/>
        <v>257134.08517254834</v>
      </c>
      <c r="P18" s="222"/>
      <c r="Q18" s="222">
        <f t="shared" si="0"/>
        <v>266133.77815358748</v>
      </c>
      <c r="R18" s="222"/>
      <c r="S18" s="222">
        <f t="shared" si="0"/>
        <v>275448.46038896299</v>
      </c>
      <c r="T18" s="222"/>
      <c r="U18" s="222">
        <f t="shared" si="0"/>
        <v>285089.15650257666</v>
      </c>
      <c r="V18" s="222"/>
      <c r="W18" s="222">
        <f t="shared" si="0"/>
        <v>295067.27698016685</v>
      </c>
      <c r="X18" s="222"/>
      <c r="Y18" s="222">
        <f t="shared" si="0"/>
        <v>305394.63167447265</v>
      </c>
      <c r="Z18" s="222"/>
      <c r="AA18" s="222">
        <f t="shared" si="0"/>
        <v>316083.44378307916</v>
      </c>
      <c r="AB18" s="222"/>
      <c r="AC18" s="222">
        <f t="shared" si="0"/>
        <v>327146.36431548692</v>
      </c>
      <c r="AD18" s="222"/>
      <c r="AE18" s="222">
        <f t="shared" si="0"/>
        <v>338596.48706652893</v>
      </c>
      <c r="AF18" s="222"/>
      <c r="AG18" s="222">
        <f t="shared" si="0"/>
        <v>350447.36411385745</v>
      </c>
    </row>
    <row r="19" spans="1:33" s="210" customFormat="1" ht="13.8">
      <c r="A19" s="210" t="s">
        <v>155</v>
      </c>
      <c r="C19" s="233"/>
      <c r="E19" s="222">
        <f>Application!W863</f>
        <v>160000</v>
      </c>
      <c r="F19" s="222"/>
      <c r="G19" s="222">
        <f t="shared" si="0"/>
        <v>165600</v>
      </c>
      <c r="H19" s="222"/>
      <c r="I19" s="222">
        <f t="shared" si="0"/>
        <v>171396</v>
      </c>
      <c r="J19" s="222"/>
      <c r="K19" s="222">
        <f t="shared" si="0"/>
        <v>177394.86</v>
      </c>
      <c r="L19" s="222"/>
      <c r="M19" s="222">
        <f t="shared" si="0"/>
        <v>183603.68009999997</v>
      </c>
      <c r="N19" s="222"/>
      <c r="O19" s="222">
        <f t="shared" si="0"/>
        <v>190029.80890349994</v>
      </c>
      <c r="P19" s="222"/>
      <c r="Q19" s="222">
        <f t="shared" si="0"/>
        <v>196680.85221512243</v>
      </c>
      <c r="R19" s="222"/>
      <c r="S19" s="222">
        <f t="shared" si="0"/>
        <v>203564.68204265169</v>
      </c>
      <c r="T19" s="222"/>
      <c r="U19" s="222">
        <f t="shared" si="0"/>
        <v>210689.44591414448</v>
      </c>
      <c r="V19" s="222"/>
      <c r="W19" s="222">
        <f t="shared" si="0"/>
        <v>218063.57652113953</v>
      </c>
      <c r="X19" s="222"/>
      <c r="Y19" s="222">
        <f t="shared" si="0"/>
        <v>225695.8016993794</v>
      </c>
      <c r="Z19" s="222"/>
      <c r="AA19" s="222">
        <f t="shared" si="0"/>
        <v>233595.15475885765</v>
      </c>
      <c r="AB19" s="222"/>
      <c r="AC19" s="222">
        <f t="shared" si="0"/>
        <v>241770.98517541765</v>
      </c>
      <c r="AD19" s="222"/>
      <c r="AE19" s="222">
        <f t="shared" si="0"/>
        <v>250232.96965655725</v>
      </c>
      <c r="AF19" s="222"/>
      <c r="AG19" s="222">
        <f t="shared" si="0"/>
        <v>258991.12359453674</v>
      </c>
    </row>
    <row r="20" spans="1:33" s="210" customFormat="1" ht="13.8">
      <c r="A20" s="210" t="s">
        <v>390</v>
      </c>
      <c r="C20" s="233"/>
      <c r="E20" s="222">
        <f>Application!W872</f>
        <v>108587</v>
      </c>
      <c r="F20" s="222"/>
      <c r="G20" s="222">
        <f t="shared" si="0"/>
        <v>112387.545</v>
      </c>
      <c r="H20" s="222"/>
      <c r="I20" s="222">
        <f t="shared" si="0"/>
        <v>116321.10907499999</v>
      </c>
      <c r="J20" s="222"/>
      <c r="K20" s="222">
        <f t="shared" si="0"/>
        <v>120392.34789262498</v>
      </c>
      <c r="L20" s="222"/>
      <c r="M20" s="222">
        <f t="shared" si="0"/>
        <v>124606.08006886684</v>
      </c>
      <c r="N20" s="222"/>
      <c r="O20" s="222">
        <f t="shared" si="0"/>
        <v>128967.29287127717</v>
      </c>
      <c r="P20" s="222"/>
      <c r="Q20" s="222">
        <f t="shared" si="0"/>
        <v>133481.14812177187</v>
      </c>
      <c r="R20" s="222"/>
      <c r="S20" s="222">
        <f t="shared" si="0"/>
        <v>138152.98830603386</v>
      </c>
      <c r="T20" s="222"/>
      <c r="U20" s="222">
        <f t="shared" si="0"/>
        <v>142988.34289674505</v>
      </c>
      <c r="V20" s="222"/>
      <c r="W20" s="222">
        <f t="shared" si="0"/>
        <v>147992.93489813112</v>
      </c>
      <c r="X20" s="222"/>
      <c r="Y20" s="222">
        <f t="shared" si="0"/>
        <v>153172.6876195657</v>
      </c>
      <c r="Z20" s="222"/>
      <c r="AA20" s="222">
        <f t="shared" si="0"/>
        <v>158533.73168625048</v>
      </c>
      <c r="AB20" s="222"/>
      <c r="AC20" s="222">
        <f t="shared" si="0"/>
        <v>164082.41229526923</v>
      </c>
      <c r="AD20" s="222"/>
      <c r="AE20" s="222">
        <f t="shared" si="0"/>
        <v>169825.29672560364</v>
      </c>
      <c r="AF20" s="222"/>
      <c r="AG20" s="222">
        <f t="shared" si="0"/>
        <v>175769.18211099974</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730306</v>
      </c>
      <c r="G22" s="223">
        <f>SUM(G15:G21)</f>
        <v>755866.71</v>
      </c>
      <c r="I22" s="223">
        <f>SUM(I15:I21)</f>
        <v>782322.04484999995</v>
      </c>
      <c r="K22" s="223">
        <f>SUM(K15:K21)</f>
        <v>809703.31641974987</v>
      </c>
      <c r="M22" s="223">
        <f>SUM(M15:M21)</f>
        <v>838042.93249444105</v>
      </c>
      <c r="O22" s="223">
        <f>SUM(O15:O21)</f>
        <v>867374.43513174634</v>
      </c>
      <c r="Q22" s="223">
        <f>SUM(Q15:Q21)</f>
        <v>897732.54036135739</v>
      </c>
      <c r="S22" s="223">
        <f>SUM(S15:S21)</f>
        <v>929153.17927400477</v>
      </c>
      <c r="U22" s="223">
        <f>SUM(U15:U21)</f>
        <v>961673.5405485949</v>
      </c>
      <c r="W22" s="223">
        <f>SUM(W15:W21)</f>
        <v>995332.11446779571</v>
      </c>
      <c r="Y22" s="223">
        <f>SUM(Y15:Y21)</f>
        <v>1030168.7384741686</v>
      </c>
      <c r="AA22" s="223">
        <f>SUM(AA15:AA21)</f>
        <v>1066224.6443207641</v>
      </c>
      <c r="AC22" s="223">
        <f>SUM(AC15:AC21)</f>
        <v>1103542.5068719909</v>
      </c>
      <c r="AE22" s="223">
        <f>SUM(AE15:AE21)</f>
        <v>1142166.4946125103</v>
      </c>
      <c r="AG22" s="223">
        <f>SUM(AG15:AG21)</f>
        <v>1182142.3219239481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11494</v>
      </c>
      <c r="F27" s="222"/>
      <c r="G27" s="222">
        <f>E27*$C$27</f>
        <v>11896.289999999999</v>
      </c>
      <c r="H27" s="222"/>
      <c r="I27" s="222">
        <f>G27*$C$27</f>
        <v>12312.660149999998</v>
      </c>
      <c r="J27" s="222"/>
      <c r="K27" s="222">
        <f>I27*$C$27</f>
        <v>12743.603255249996</v>
      </c>
      <c r="L27" s="222"/>
      <c r="M27" s="222">
        <f>K27*$C$27</f>
        <v>13189.629369183745</v>
      </c>
      <c r="N27" s="222"/>
      <c r="O27" s="222">
        <f>M27*$C$27</f>
        <v>13651.266397105175</v>
      </c>
      <c r="P27" s="222"/>
      <c r="Q27" s="222">
        <f>O27*$C$27</f>
        <v>14129.060721003856</v>
      </c>
      <c r="R27" s="222"/>
      <c r="S27" s="222">
        <f>Q27*$C$27</f>
        <v>14623.57784623899</v>
      </c>
      <c r="T27" s="222"/>
      <c r="U27" s="222">
        <f>S27*$C$27</f>
        <v>15135.403070857354</v>
      </c>
      <c r="V27" s="222"/>
      <c r="W27" s="222">
        <f>U27*$C$27</f>
        <v>15665.142178337359</v>
      </c>
      <c r="X27" s="222"/>
      <c r="Y27" s="222">
        <f>W27*$C$27</f>
        <v>16213.422154579166</v>
      </c>
      <c r="Z27" s="222"/>
      <c r="AA27" s="222">
        <f>Y27*$C$27</f>
        <v>16780.891929989437</v>
      </c>
      <c r="AB27" s="222"/>
      <c r="AC27" s="222">
        <f>AA27*$C$27</f>
        <v>17368.223147539065</v>
      </c>
      <c r="AD27" s="222"/>
      <c r="AE27" s="222">
        <f>AC27*$C$27</f>
        <v>17976.110957702931</v>
      </c>
      <c r="AF27" s="222"/>
      <c r="AG27" s="222">
        <f>AE27*$C$27</f>
        <v>18605.274841222534</v>
      </c>
    </row>
    <row r="28" spans="1:33" s="210" customFormat="1" ht="13.8">
      <c r="A28" s="210" t="s">
        <v>847</v>
      </c>
      <c r="C28" s="237">
        <v>1.02</v>
      </c>
      <c r="E28" s="222">
        <f>Application!AC889</f>
        <v>33600</v>
      </c>
      <c r="F28" s="222"/>
      <c r="G28" s="222">
        <f>E28*$C$28</f>
        <v>34272</v>
      </c>
      <c r="H28" s="222"/>
      <c r="I28" s="222">
        <f t="shared" ref="I28" si="1">G28*$C$28</f>
        <v>34957.440000000002</v>
      </c>
      <c r="J28" s="222"/>
      <c r="K28" s="222">
        <f t="shared" ref="K28" si="2">I28*$C$28</f>
        <v>35656.588800000005</v>
      </c>
      <c r="L28" s="222"/>
      <c r="M28" s="222">
        <f t="shared" ref="M28" si="3">K28*$C$28</f>
        <v>36369.720576000007</v>
      </c>
      <c r="N28" s="222"/>
      <c r="O28" s="222">
        <f t="shared" ref="O28" si="4">M28*$C$28</f>
        <v>37097.114987520006</v>
      </c>
      <c r="P28" s="222"/>
      <c r="Q28" s="222">
        <f t="shared" ref="Q28" si="5">O28*$C$28</f>
        <v>37839.057287270407</v>
      </c>
      <c r="R28" s="222"/>
      <c r="S28" s="222">
        <f t="shared" ref="S28" si="6">Q28*$C$28</f>
        <v>38595.838433015815</v>
      </c>
      <c r="T28" s="222"/>
      <c r="U28" s="222">
        <f t="shared" ref="U28" si="7">S28*$C$28</f>
        <v>39367.755201676133</v>
      </c>
      <c r="V28" s="222"/>
      <c r="W28" s="222">
        <f t="shared" ref="W28" si="8">U28*$C$28</f>
        <v>40155.110305709655</v>
      </c>
      <c r="X28" s="222"/>
      <c r="Y28" s="222">
        <f t="shared" ref="Y28" si="9">W28*$C$28</f>
        <v>40958.212511823847</v>
      </c>
      <c r="Z28" s="222"/>
      <c r="AA28" s="222">
        <f t="shared" ref="AA28" si="10">Y28*$C$28</f>
        <v>41777.376762060325</v>
      </c>
      <c r="AB28" s="222"/>
      <c r="AC28" s="222">
        <f t="shared" ref="AC28" si="11">AA28*$C$28</f>
        <v>42612.924297301535</v>
      </c>
      <c r="AD28" s="222"/>
      <c r="AE28" s="222">
        <f t="shared" ref="AE28" si="12">AC28*$C$28</f>
        <v>43465.182783247568</v>
      </c>
      <c r="AF28" s="222"/>
      <c r="AG28" s="222">
        <f t="shared" ref="AG28" si="13">AE28*$C$28</f>
        <v>44334.486438912521</v>
      </c>
    </row>
    <row r="29" spans="1:33" s="210" customFormat="1" ht="13.8">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1.05</v>
      </c>
      <c r="E30" s="222">
        <f>Application!AC891</f>
        <v>7000</v>
      </c>
      <c r="F30" s="222"/>
      <c r="G30" s="222">
        <f>E30*$C$30</f>
        <v>7350</v>
      </c>
      <c r="H30" s="222"/>
      <c r="I30" s="222">
        <f>G30*$C$30</f>
        <v>7717.5</v>
      </c>
      <c r="J30" s="222"/>
      <c r="K30" s="222">
        <f>I30*$C$30</f>
        <v>8103.375</v>
      </c>
      <c r="L30" s="222"/>
      <c r="M30" s="222">
        <f>K30*$C$30</f>
        <v>8508.5437500000007</v>
      </c>
      <c r="N30" s="222"/>
      <c r="O30" s="222">
        <f>M30*$C$30</f>
        <v>8933.970937500002</v>
      </c>
      <c r="P30" s="222"/>
      <c r="Q30" s="222">
        <f>O30*$C$30</f>
        <v>9380.6694843750029</v>
      </c>
      <c r="R30" s="222"/>
      <c r="S30" s="222">
        <f>Q30*$C$30</f>
        <v>9849.7029585937526</v>
      </c>
      <c r="T30" s="222"/>
      <c r="U30" s="222">
        <f>S30*$C$30</f>
        <v>10342.188106523441</v>
      </c>
      <c r="V30" s="222"/>
      <c r="W30" s="222">
        <f>U30*$C$30</f>
        <v>10859.297511849614</v>
      </c>
      <c r="X30" s="222"/>
      <c r="Y30" s="222">
        <f>W30*$C$30</f>
        <v>11402.262387442095</v>
      </c>
      <c r="Z30" s="222"/>
      <c r="AA30" s="222">
        <f>Y30*$C$30</f>
        <v>11972.3755068142</v>
      </c>
      <c r="AB30" s="222"/>
      <c r="AC30" s="222">
        <f>AA30*$C$30</f>
        <v>12570.99428215491</v>
      </c>
      <c r="AD30" s="222"/>
      <c r="AE30" s="222">
        <f>AC30*$C$30</f>
        <v>13199.543996262657</v>
      </c>
      <c r="AF30" s="222"/>
      <c r="AG30" s="222">
        <f>AE30*$C$30</f>
        <v>13859.52119607579</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782400</v>
      </c>
      <c r="G35" s="223">
        <f>SUM(G22:G33)</f>
        <v>809385</v>
      </c>
      <c r="I35" s="223">
        <f>SUM(I22:I33)</f>
        <v>837309.64500000002</v>
      </c>
      <c r="K35" s="223">
        <f>SUM(K22:K33)</f>
        <v>866206.88347499992</v>
      </c>
      <c r="M35" s="223">
        <f>SUM(M22:M33)</f>
        <v>896110.82618962484</v>
      </c>
      <c r="O35" s="223">
        <f>SUM(O22:O33)</f>
        <v>927056.78745387157</v>
      </c>
      <c r="Q35" s="223">
        <f>SUM(Q22:Q33)</f>
        <v>959081.32785400667</v>
      </c>
      <c r="S35" s="223">
        <f>SUM(S22:S33)</f>
        <v>992222.29851185333</v>
      </c>
      <c r="U35" s="223">
        <f>SUM(U22:U33)</f>
        <v>1026518.8869276519</v>
      </c>
      <c r="W35" s="223">
        <f>SUM(W22:W33)</f>
        <v>1062011.6644636923</v>
      </c>
      <c r="Y35" s="223">
        <f>SUM(Y22:Y33)</f>
        <v>1098742.6355280138</v>
      </c>
      <c r="AA35" s="223">
        <f>SUM(AA22:AA33)</f>
        <v>1136755.2885196279</v>
      </c>
      <c r="AC35" s="223">
        <f>SUM(AC22:AC33)</f>
        <v>1176094.6485989862</v>
      </c>
      <c r="AE35" s="223">
        <f>SUM(AE22:AE33)</f>
        <v>1216807.3323497234</v>
      </c>
      <c r="AG35" s="223">
        <f>SUM(AG22:AG33)</f>
        <v>1258941.6044001589</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1267168</v>
      </c>
      <c r="G37" s="223">
        <f>G11-G35</f>
        <v>1291398.4500000002</v>
      </c>
      <c r="I37" s="223">
        <f>I11-I35</f>
        <v>1315969.1662499998</v>
      </c>
      <c r="K37" s="223">
        <f>K11-K35</f>
        <v>1340879.1885562493</v>
      </c>
      <c r="M37" s="223">
        <f>M11-M35</f>
        <v>1366127.1939524056</v>
      </c>
      <c r="O37" s="223">
        <f>O11-O35</f>
        <v>1391711.4754279093</v>
      </c>
      <c r="Q37" s="223">
        <f>Q11-Q35</f>
        <v>1417629.919680743</v>
      </c>
      <c r="S37" s="223">
        <f>S11-S35</f>
        <v>1443879.9838538067</v>
      </c>
      <c r="U37" s="223">
        <f>U11-U35</f>
        <v>1470458.671212543</v>
      </c>
      <c r="W37" s="223">
        <f>W11-W35</f>
        <v>1497362.5057197083</v>
      </c>
      <c r="Y37" s="223">
        <f>Y11-Y35</f>
        <v>1524587.5054614672</v>
      </c>
      <c r="AA37" s="223">
        <f>AA11-AA35</f>
        <v>1552129.154877115</v>
      </c>
      <c r="AC37" s="223">
        <f>AC11-AC35</f>
        <v>1579982.3757428508</v>
      </c>
      <c r="AE37" s="223">
        <f>AE11-AE35</f>
        <v>1608141.4968580387</v>
      </c>
      <c r="AG37" s="223">
        <f>AG11-AG35</f>
        <v>1636600.2223803238</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Permanent Loan</v>
      </c>
      <c r="B40" s="226"/>
      <c r="C40" s="220"/>
      <c r="E40" s="222">
        <f>Application!AF627</f>
        <v>1100906</v>
      </c>
      <c r="F40" s="222"/>
      <c r="G40" s="222">
        <f>$E$40</f>
        <v>1100906</v>
      </c>
      <c r="H40" s="222"/>
      <c r="I40" s="222">
        <f>$E$40</f>
        <v>1100906</v>
      </c>
      <c r="J40" s="222"/>
      <c r="K40" s="222">
        <f>$E$40</f>
        <v>1100906</v>
      </c>
      <c r="L40" s="222"/>
      <c r="M40" s="222">
        <f>$E$40</f>
        <v>1100906</v>
      </c>
      <c r="N40" s="222"/>
      <c r="O40" s="222">
        <f>$E$40</f>
        <v>1100906</v>
      </c>
      <c r="P40" s="222"/>
      <c r="Q40" s="222">
        <f>$E$40</f>
        <v>1100906</v>
      </c>
      <c r="R40" s="222"/>
      <c r="S40" s="222">
        <f>$E$40</f>
        <v>1100906</v>
      </c>
      <c r="T40" s="222"/>
      <c r="U40" s="222">
        <f>$E$40</f>
        <v>1100906</v>
      </c>
      <c r="V40" s="222"/>
      <c r="W40" s="222">
        <f>$E$40</f>
        <v>1100906</v>
      </c>
      <c r="X40" s="222"/>
      <c r="Y40" s="222">
        <f>$E$40</f>
        <v>1100906</v>
      </c>
      <c r="Z40" s="222"/>
      <c r="AA40" s="222">
        <f>$E$40</f>
        <v>1100906</v>
      </c>
      <c r="AB40" s="222"/>
      <c r="AC40" s="222">
        <f>$E$40</f>
        <v>1100906</v>
      </c>
      <c r="AD40" s="222"/>
      <c r="AE40" s="222">
        <f>$E$40</f>
        <v>1100906</v>
      </c>
      <c r="AF40" s="222"/>
      <c r="AG40" s="222">
        <f>$E$40</f>
        <v>1100906</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1100906</v>
      </c>
      <c r="G43" s="223">
        <f>SUM(G40:G42)</f>
        <v>1100906</v>
      </c>
      <c r="I43" s="223">
        <f>SUM(I40:I42)</f>
        <v>1100906</v>
      </c>
      <c r="K43" s="223">
        <f>SUM(K40:K42)</f>
        <v>1100906</v>
      </c>
      <c r="M43" s="223">
        <f>SUM(M40:M42)</f>
        <v>1100906</v>
      </c>
      <c r="O43" s="223">
        <f>SUM(O40:O42)</f>
        <v>1100906</v>
      </c>
      <c r="Q43" s="223">
        <f>SUM(Q40:Q42)</f>
        <v>1100906</v>
      </c>
      <c r="S43" s="223">
        <f>SUM(S40:S42)</f>
        <v>1100906</v>
      </c>
      <c r="U43" s="223">
        <f>SUM(U40:U42)</f>
        <v>1100906</v>
      </c>
      <c r="W43" s="223">
        <f>SUM(W40:W42)</f>
        <v>1100906</v>
      </c>
      <c r="Y43" s="223">
        <f>SUM(Y40:Y42)</f>
        <v>1100906</v>
      </c>
      <c r="AA43" s="223">
        <f>SUM(AA40:AA42)</f>
        <v>1100906</v>
      </c>
      <c r="AC43" s="223">
        <f>SUM(AC40:AC42)</f>
        <v>1100906</v>
      </c>
      <c r="AE43" s="223">
        <f>SUM(AE40:AE42)</f>
        <v>1100906</v>
      </c>
      <c r="AG43" s="223">
        <f>SUM(AG40:AG42)</f>
        <v>1100906</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166262</v>
      </c>
      <c r="G45" s="223">
        <f>G37-G43</f>
        <v>190492.45000000019</v>
      </c>
      <c r="I45" s="223">
        <f>I37-I43</f>
        <v>215063.16624999978</v>
      </c>
      <c r="K45" s="223">
        <f>K37-K43</f>
        <v>239973.18855624925</v>
      </c>
      <c r="M45" s="223">
        <f>M37-M43</f>
        <v>265221.19395240559</v>
      </c>
      <c r="O45" s="223">
        <f>O37-O43</f>
        <v>290805.47542790929</v>
      </c>
      <c r="Q45" s="223">
        <f>Q37-Q43</f>
        <v>316723.91968074301</v>
      </c>
      <c r="S45" s="223">
        <f>S37-S43</f>
        <v>342973.98385380674</v>
      </c>
      <c r="U45" s="223">
        <f>U37-U43</f>
        <v>369552.67121254303</v>
      </c>
      <c r="W45" s="223">
        <f>W37-W43</f>
        <v>396456.50571970828</v>
      </c>
      <c r="Y45" s="223">
        <f>Y37-Y43</f>
        <v>423681.5054614672</v>
      </c>
      <c r="AA45" s="223">
        <f>AA37-AA43</f>
        <v>451223.15487711504</v>
      </c>
      <c r="AC45" s="223">
        <f>AC37-AC43</f>
        <v>479076.37574285083</v>
      </c>
      <c r="AE45" s="223">
        <f>AE37-AE43</f>
        <v>507235.49685803871</v>
      </c>
      <c r="AG45" s="223">
        <f>AG37-AG43</f>
        <v>535694.2223803238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7.70644838326906E-2</v>
      </c>
      <c r="G47" s="227">
        <f>G45/(G4+G6+G8)</f>
        <v>8.614301845342516E-2</v>
      </c>
      <c r="I47" s="227">
        <f>I45/(I4+I6+I8)</f>
        <v>9.4883211068656659E-2</v>
      </c>
      <c r="K47" s="227">
        <f>K45/(K4+K6+K8)</f>
        <v>0.10329208815976298</v>
      </c>
      <c r="M47" s="227">
        <f>M45/(M4+M6+M8)</f>
        <v>0.11137649178001457</v>
      </c>
      <c r="O47" s="227">
        <f>O45/(O4+O6+O8)</f>
        <v>0.1191430838859117</v>
      </c>
      <c r="Q47" s="227">
        <f>Q45/(Q4+Q6+Q8)</f>
        <v>0.12659835056059188</v>
      </c>
      <c r="S47" s="227">
        <f>S45/(S4+S6+S8)</f>
        <v>0.13374860613188727</v>
      </c>
      <c r="U47" s="227">
        <f>U45/(U4+U6+U8)</f>
        <v>0.14059999718756161</v>
      </c>
      <c r="W47" s="227">
        <f>W45/(W4+W6+W8)</f>
        <v>0.14715850649017603</v>
      </c>
      <c r="Y47" s="227">
        <f>Y45/(Y4+Y6+Y8)</f>
        <v>0.15342995679399235</v>
      </c>
      <c r="AA47" s="227">
        <f>AA45/(AA4+AA6+AA8)</f>
        <v>0.15942001456624535</v>
      </c>
      <c r="AC47" s="227">
        <f>AC45/(AC4+AC6+AC8)</f>
        <v>0.16513419361506906</v>
      </c>
      <c r="AE47" s="227">
        <f>AE45/(AE4+AE6+AE8)</f>
        <v>0.1705778586263012</v>
      </c>
      <c r="AG47" s="227">
        <f>AG45/(AG4+AG6+AG8)</f>
        <v>0.17575622861133311</v>
      </c>
    </row>
    <row r="48" spans="1:33" s="227" customFormat="1" ht="13.8">
      <c r="A48" s="227" t="s">
        <v>853</v>
      </c>
      <c r="C48" s="220"/>
      <c r="E48" s="227">
        <f>E45/E43</f>
        <v>0.15102288478762038</v>
      </c>
      <c r="G48" s="227">
        <f>G45/G43</f>
        <v>0.17303243873682239</v>
      </c>
      <c r="I48" s="227">
        <f>I45/I43</f>
        <v>0.1953510710723711</v>
      </c>
      <c r="K48" s="227">
        <f>K45/K43</f>
        <v>0.21797790960922117</v>
      </c>
      <c r="M48" s="227">
        <f>M45/M43</f>
        <v>0.24091175264046666</v>
      </c>
      <c r="O48" s="227">
        <f>O45/O43</f>
        <v>0.26415104961541613</v>
      </c>
      <c r="Q48" s="227">
        <f>Q45/Q43</f>
        <v>0.28769388093147191</v>
      </c>
      <c r="S48" s="227">
        <f>S45/S43</f>
        <v>0.31153793680278491</v>
      </c>
      <c r="U48" s="227">
        <f>U45/U43</f>
        <v>0.33568049516720139</v>
      </c>
      <c r="W48" s="227">
        <f>W45/W43</f>
        <v>0.3601183985914404</v>
      </c>
      <c r="Y48" s="227">
        <f>Y45/Y43</f>
        <v>0.38484803013287894</v>
      </c>
      <c r="AA48" s="227">
        <f>AA45/AA43</f>
        <v>0.40986528811462108</v>
      </c>
      <c r="AC48" s="227">
        <f>AC45/AC43</f>
        <v>0.43516555976881843</v>
      </c>
      <c r="AE48" s="227">
        <f>AE45/AE43</f>
        <v>0.46074369370140478</v>
      </c>
      <c r="AG48" s="227">
        <f>AG45/AG43</f>
        <v>0.48659397112952768</v>
      </c>
    </row>
    <row r="49" spans="1:34" s="228" customFormat="1" ht="13.8">
      <c r="A49" s="228" t="s">
        <v>851</v>
      </c>
      <c r="C49" s="229"/>
      <c r="E49" s="228">
        <f>E37/E43</f>
        <v>1.1510228847876203</v>
      </c>
      <c r="G49" s="228">
        <f>G37/G43</f>
        <v>1.1730324387368223</v>
      </c>
      <c r="I49" s="228">
        <f>I37/I43</f>
        <v>1.1953510710723712</v>
      </c>
      <c r="K49" s="228">
        <f>K37/K43</f>
        <v>1.2179779096092211</v>
      </c>
      <c r="M49" s="228">
        <f>M37/M43</f>
        <v>1.2409117526404667</v>
      </c>
      <c r="O49" s="228">
        <f>O37/O43</f>
        <v>1.264151049615416</v>
      </c>
      <c r="Q49" s="228">
        <f>Q37/Q43</f>
        <v>1.287693880931472</v>
      </c>
      <c r="S49" s="228">
        <f>S37/S43</f>
        <v>1.3115379368027849</v>
      </c>
      <c r="U49" s="228">
        <f>U37/U43</f>
        <v>1.3356804951672014</v>
      </c>
      <c r="W49" s="228">
        <f>W37/W43</f>
        <v>1.3601183985914405</v>
      </c>
      <c r="Y49" s="228">
        <f>Y37/Y43</f>
        <v>1.3848480301328789</v>
      </c>
      <c r="AA49" s="228">
        <f>AA37/AA43</f>
        <v>1.4098652881146212</v>
      </c>
      <c r="AC49" s="228">
        <f>AC37/AC43</f>
        <v>1.4351655597688184</v>
      </c>
      <c r="AE49" s="228">
        <f>AE37/AE43</f>
        <v>1.4607436937014047</v>
      </c>
      <c r="AG49" s="228">
        <f>AG37/AG43</f>
        <v>1.4865939711295277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1185</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1.02</v>
      </c>
      <c r="E53" s="964">
        <v>7500</v>
      </c>
      <c r="G53" s="960">
        <f>E53*$C$53</f>
        <v>7650</v>
      </c>
      <c r="I53" s="960">
        <f>G53*$C$53</f>
        <v>7803</v>
      </c>
      <c r="K53" s="960">
        <f>I53*$C$53</f>
        <v>7959.06</v>
      </c>
      <c r="M53" s="960">
        <f>K53*$C$53</f>
        <v>8118.2412000000004</v>
      </c>
      <c r="O53" s="960">
        <f>M53*$C$53</f>
        <v>8280.6060240000006</v>
      </c>
      <c r="Q53" s="960">
        <f>O53*$C$53</f>
        <v>8446.2181444800008</v>
      </c>
      <c r="S53" s="960">
        <f>Q53*$C$53</f>
        <v>8615.1425073696009</v>
      </c>
      <c r="U53" s="960">
        <f>S53*$C$53</f>
        <v>8787.4453575169937</v>
      </c>
      <c r="W53" s="960">
        <f>U53*$C$53</f>
        <v>8963.1942646673342</v>
      </c>
      <c r="Y53" s="960">
        <f>W53*$C$53</f>
        <v>9142.4581499606811</v>
      </c>
      <c r="AA53" s="960">
        <f>Y53*$C$53</f>
        <v>9325.3073129598943</v>
      </c>
      <c r="AC53" s="960">
        <f>AA53*$C$53</f>
        <v>9511.8134592190927</v>
      </c>
      <c r="AE53" s="960">
        <f>AC53*$C$53</f>
        <v>9702.0497284034755</v>
      </c>
      <c r="AG53" s="960">
        <f>AE53*$C$53</f>
        <v>9896.0907229715449</v>
      </c>
    </row>
    <row r="54" spans="1:34" s="3" customFormat="1">
      <c r="A54" s="3" t="s">
        <v>856</v>
      </c>
      <c r="C54" s="958"/>
      <c r="E54" s="965">
        <v>7500</v>
      </c>
      <c r="F54" s="960"/>
      <c r="G54" s="960">
        <f t="shared" ref="G54:AG57" si="14">E54*$C$53</f>
        <v>7650</v>
      </c>
      <c r="H54" s="960"/>
      <c r="I54" s="960">
        <f t="shared" si="14"/>
        <v>7803</v>
      </c>
      <c r="J54" s="960"/>
      <c r="K54" s="960">
        <f t="shared" si="14"/>
        <v>7959.06</v>
      </c>
      <c r="L54" s="960"/>
      <c r="M54" s="960">
        <f t="shared" si="14"/>
        <v>8118.2412000000004</v>
      </c>
      <c r="N54" s="960"/>
      <c r="O54" s="960">
        <f t="shared" si="14"/>
        <v>8280.6060240000006</v>
      </c>
      <c r="P54" s="960"/>
      <c r="Q54" s="960">
        <f t="shared" si="14"/>
        <v>8446.2181444800008</v>
      </c>
      <c r="R54" s="960"/>
      <c r="S54" s="960">
        <f t="shared" si="14"/>
        <v>8615.1425073696009</v>
      </c>
      <c r="T54" s="960"/>
      <c r="U54" s="960">
        <f t="shared" si="14"/>
        <v>8787.4453575169937</v>
      </c>
      <c r="V54" s="960"/>
      <c r="W54" s="960">
        <f t="shared" si="14"/>
        <v>8963.1942646673342</v>
      </c>
      <c r="X54" s="960"/>
      <c r="Y54" s="960">
        <f t="shared" si="14"/>
        <v>9142.4581499606811</v>
      </c>
      <c r="Z54" s="960"/>
      <c r="AA54" s="960">
        <f t="shared" si="14"/>
        <v>9325.3073129598943</v>
      </c>
      <c r="AB54" s="960"/>
      <c r="AC54" s="960">
        <f t="shared" si="14"/>
        <v>9511.8134592190927</v>
      </c>
      <c r="AD54" s="960"/>
      <c r="AE54" s="960">
        <f t="shared" si="14"/>
        <v>9702.0497284034755</v>
      </c>
      <c r="AF54" s="960"/>
      <c r="AG54" s="960">
        <f t="shared" si="14"/>
        <v>9896.0907229715449</v>
      </c>
      <c r="AH54" s="960"/>
    </row>
    <row r="55" spans="1:34" s="3" customFormat="1">
      <c r="A55" s="3" t="s">
        <v>857</v>
      </c>
      <c r="C55" s="958"/>
      <c r="E55" s="965"/>
      <c r="F55" s="960"/>
      <c r="G55" s="960">
        <f t="shared" si="14"/>
        <v>0</v>
      </c>
      <c r="H55" s="960"/>
      <c r="I55" s="960">
        <f t="shared" si="14"/>
        <v>0</v>
      </c>
      <c r="J55" s="960"/>
      <c r="K55" s="960">
        <f t="shared" si="14"/>
        <v>0</v>
      </c>
      <c r="L55" s="960"/>
      <c r="M55" s="960">
        <f t="shared" si="14"/>
        <v>0</v>
      </c>
      <c r="N55" s="960"/>
      <c r="O55" s="960">
        <f t="shared" si="14"/>
        <v>0</v>
      </c>
      <c r="P55" s="960"/>
      <c r="Q55" s="960">
        <f t="shared" si="14"/>
        <v>0</v>
      </c>
      <c r="R55" s="960"/>
      <c r="S55" s="960">
        <f t="shared" si="14"/>
        <v>0</v>
      </c>
      <c r="T55" s="960"/>
      <c r="U55" s="960">
        <f t="shared" si="14"/>
        <v>0</v>
      </c>
      <c r="V55" s="960"/>
      <c r="W55" s="960">
        <f t="shared" si="14"/>
        <v>0</v>
      </c>
      <c r="X55" s="960"/>
      <c r="Y55" s="960">
        <f t="shared" si="14"/>
        <v>0</v>
      </c>
      <c r="Z55" s="960"/>
      <c r="AA55" s="960">
        <f t="shared" si="14"/>
        <v>0</v>
      </c>
      <c r="AB55" s="960"/>
      <c r="AC55" s="960">
        <f t="shared" si="14"/>
        <v>0</v>
      </c>
      <c r="AD55" s="960"/>
      <c r="AE55" s="960">
        <f t="shared" si="14"/>
        <v>0</v>
      </c>
      <c r="AF55" s="960"/>
      <c r="AG55" s="960">
        <f t="shared" si="14"/>
        <v>0</v>
      </c>
      <c r="AH55" s="960"/>
    </row>
    <row r="56" spans="1:34" s="3" customFormat="1">
      <c r="A56" s="966"/>
      <c r="B56" s="966"/>
      <c r="C56" s="958"/>
      <c r="E56" s="965"/>
      <c r="F56" s="960"/>
      <c r="G56" s="960">
        <f t="shared" si="14"/>
        <v>0</v>
      </c>
      <c r="H56" s="960"/>
      <c r="I56" s="960">
        <f t="shared" si="14"/>
        <v>0</v>
      </c>
      <c r="J56" s="960"/>
      <c r="K56" s="960">
        <f t="shared" si="14"/>
        <v>0</v>
      </c>
      <c r="L56" s="960"/>
      <c r="M56" s="960">
        <f t="shared" si="14"/>
        <v>0</v>
      </c>
      <c r="N56" s="960"/>
      <c r="O56" s="960">
        <f t="shared" si="14"/>
        <v>0</v>
      </c>
      <c r="P56" s="960"/>
      <c r="Q56" s="960">
        <f t="shared" si="14"/>
        <v>0</v>
      </c>
      <c r="R56" s="960"/>
      <c r="S56" s="960">
        <f t="shared" si="14"/>
        <v>0</v>
      </c>
      <c r="T56" s="960"/>
      <c r="U56" s="960">
        <f t="shared" si="14"/>
        <v>0</v>
      </c>
      <c r="V56" s="960"/>
      <c r="W56" s="960">
        <f t="shared" si="14"/>
        <v>0</v>
      </c>
      <c r="X56" s="960"/>
      <c r="Y56" s="960">
        <f t="shared" si="14"/>
        <v>0</v>
      </c>
      <c r="Z56" s="960"/>
      <c r="AA56" s="960">
        <f t="shared" si="14"/>
        <v>0</v>
      </c>
      <c r="AB56" s="960"/>
      <c r="AC56" s="960">
        <f t="shared" si="14"/>
        <v>0</v>
      </c>
      <c r="AD56" s="960"/>
      <c r="AE56" s="960">
        <f t="shared" si="14"/>
        <v>0</v>
      </c>
      <c r="AF56" s="960"/>
      <c r="AG56" s="960">
        <f t="shared" si="14"/>
        <v>0</v>
      </c>
      <c r="AH56" s="960"/>
    </row>
    <row r="57" spans="1:34" s="3" customFormat="1">
      <c r="A57" s="966"/>
      <c r="B57" s="966"/>
      <c r="C57" s="958"/>
      <c r="E57" s="967"/>
      <c r="F57" s="960"/>
      <c r="G57" s="968">
        <f t="shared" si="14"/>
        <v>0</v>
      </c>
      <c r="H57" s="960"/>
      <c r="I57" s="968">
        <f t="shared" si="14"/>
        <v>0</v>
      </c>
      <c r="J57" s="960"/>
      <c r="K57" s="968">
        <f t="shared" si="14"/>
        <v>0</v>
      </c>
      <c r="L57" s="960"/>
      <c r="M57" s="968">
        <f t="shared" si="14"/>
        <v>0</v>
      </c>
      <c r="N57" s="960"/>
      <c r="O57" s="968">
        <f t="shared" si="14"/>
        <v>0</v>
      </c>
      <c r="P57" s="960"/>
      <c r="Q57" s="968">
        <f t="shared" si="14"/>
        <v>0</v>
      </c>
      <c r="R57" s="960"/>
      <c r="S57" s="968">
        <f t="shared" si="14"/>
        <v>0</v>
      </c>
      <c r="T57" s="960"/>
      <c r="U57" s="968">
        <f t="shared" si="14"/>
        <v>0</v>
      </c>
      <c r="V57" s="960"/>
      <c r="W57" s="968">
        <f t="shared" si="14"/>
        <v>0</v>
      </c>
      <c r="X57" s="960"/>
      <c r="Y57" s="968">
        <f t="shared" si="14"/>
        <v>0</v>
      </c>
      <c r="Z57" s="960"/>
      <c r="AA57" s="968">
        <f t="shared" si="14"/>
        <v>0</v>
      </c>
      <c r="AB57" s="960"/>
      <c r="AC57" s="968">
        <f t="shared" si="14"/>
        <v>0</v>
      </c>
      <c r="AD57" s="960"/>
      <c r="AE57" s="968">
        <f t="shared" si="14"/>
        <v>0</v>
      </c>
      <c r="AF57" s="960"/>
      <c r="AG57" s="968">
        <f t="shared" si="14"/>
        <v>0</v>
      </c>
      <c r="AH57" s="960"/>
    </row>
    <row r="58" spans="1:34" s="3" customFormat="1">
      <c r="A58" s="962" t="s">
        <v>854</v>
      </c>
      <c r="C58" s="961"/>
      <c r="E58" s="960">
        <f>SUM(E53:E57)</f>
        <v>15000</v>
      </c>
      <c r="F58" s="960"/>
      <c r="G58" s="960">
        <f>SUM(G53:G57)</f>
        <v>15300</v>
      </c>
      <c r="H58" s="960"/>
      <c r="I58" s="960">
        <f>SUM(I53:I57)</f>
        <v>15606</v>
      </c>
      <c r="J58" s="960"/>
      <c r="K58" s="960">
        <f>SUM(K53:K57)</f>
        <v>15918.12</v>
      </c>
      <c r="L58" s="960"/>
      <c r="M58" s="960">
        <f>SUM(M53:M57)</f>
        <v>16236.482400000001</v>
      </c>
      <c r="N58" s="960"/>
      <c r="O58" s="960">
        <f>SUM(O53:O57)</f>
        <v>16561.212048000001</v>
      </c>
      <c r="P58" s="960"/>
      <c r="Q58" s="960">
        <f>SUM(Q53:Q57)</f>
        <v>16892.436288960002</v>
      </c>
      <c r="R58" s="960"/>
      <c r="S58" s="960">
        <f>SUM(S53:S57)</f>
        <v>17230.285014739202</v>
      </c>
      <c r="T58" s="960"/>
      <c r="U58" s="960">
        <f>SUM(U53:U57)</f>
        <v>17574.890715033987</v>
      </c>
      <c r="V58" s="960"/>
      <c r="W58" s="960">
        <f>SUM(W53:W57)</f>
        <v>17926.388529334668</v>
      </c>
      <c r="X58" s="960"/>
      <c r="Y58" s="960">
        <f>SUM(Y53:Y57)</f>
        <v>18284.916299921362</v>
      </c>
      <c r="Z58" s="960"/>
      <c r="AA58" s="960">
        <f>SUM(AA53:AA57)</f>
        <v>18650.614625919789</v>
      </c>
      <c r="AB58" s="960"/>
      <c r="AC58" s="960">
        <f>SUM(AC53:AC57)</f>
        <v>19023.626918438185</v>
      </c>
      <c r="AD58" s="960"/>
      <c r="AE58" s="960">
        <f>SUM(AE53:AE57)</f>
        <v>19404.099456806951</v>
      </c>
      <c r="AF58" s="960"/>
      <c r="AG58" s="960">
        <f>SUM(AG53:AG57)</f>
        <v>19792.18144594309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151262</v>
      </c>
      <c r="G60" s="962">
        <f>G45-G58</f>
        <v>175192.45000000019</v>
      </c>
      <c r="I60" s="962">
        <f>I45-I58</f>
        <v>199457.16624999978</v>
      </c>
      <c r="K60" s="962">
        <f>K45-K58</f>
        <v>224055.06855624926</v>
      </c>
      <c r="M60" s="962">
        <f>M45-M58</f>
        <v>248984.71155240558</v>
      </c>
      <c r="O60" s="962">
        <f>O45-O58</f>
        <v>274244.26337990927</v>
      </c>
      <c r="Q60" s="962">
        <f>Q45-Q58</f>
        <v>299831.48339178303</v>
      </c>
      <c r="S60" s="962">
        <f>S45-S58</f>
        <v>325743.69883906754</v>
      </c>
      <c r="U60" s="962">
        <f>U45-U58</f>
        <v>351977.78049750905</v>
      </c>
      <c r="W60" s="962">
        <f>W45-W58</f>
        <v>378530.1171903736</v>
      </c>
      <c r="Y60" s="962">
        <f>Y45-Y58</f>
        <v>405396.58916154585</v>
      </c>
      <c r="AA60" s="962">
        <f>AA45-AA58</f>
        <v>432572.54025119526</v>
      </c>
      <c r="AC60" s="962">
        <f>AC45-AC58</f>
        <v>460052.74882441264</v>
      </c>
      <c r="AE60" s="962">
        <f>AE45-AE58</f>
        <v>487831.39740123175</v>
      </c>
      <c r="AG60" s="962">
        <f>AG45-AG58</f>
        <v>515902.04093438073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151262</v>
      </c>
      <c r="G62" s="962">
        <f>G60*$C$62</f>
        <v>175192.45000000019</v>
      </c>
      <c r="I62" s="962">
        <f>I60*$C$62</f>
        <v>199457.16624999978</v>
      </c>
      <c r="K62" s="962">
        <f>K60*$C$62</f>
        <v>224055.06855624926</v>
      </c>
      <c r="M62" s="962">
        <f>M60*$C$62</f>
        <v>248984.71155240558</v>
      </c>
      <c r="O62" s="962">
        <f>O60*$C$62</f>
        <v>274244.26337990927</v>
      </c>
      <c r="Q62" s="962">
        <f>Q60*$C$62</f>
        <v>299831.48339178303</v>
      </c>
      <c r="S62" s="962">
        <f>S60*$C$62</f>
        <v>325743.69883906754</v>
      </c>
      <c r="U62" s="962">
        <v>181989</v>
      </c>
      <c r="W62" s="962">
        <v>0</v>
      </c>
      <c r="Y62" s="962">
        <v>0</v>
      </c>
      <c r="AA62" s="962">
        <v>0</v>
      </c>
      <c r="AC62" s="962">
        <v>0</v>
      </c>
      <c r="AE62" s="962">
        <v>0</v>
      </c>
      <c r="AG62" s="962">
        <v>0</v>
      </c>
    </row>
    <row r="63" spans="1:34" s="962" customFormat="1">
      <c r="A63" s="2694" t="s">
        <v>1185</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2725</v>
      </c>
      <c r="B66" s="964"/>
      <c r="C66" s="963"/>
      <c r="E66" s="964">
        <f>$E60*$C$65</f>
        <v>0</v>
      </c>
      <c r="G66" s="960">
        <f>G60*$C$65</f>
        <v>0</v>
      </c>
      <c r="I66" s="960">
        <f>I60*$C$65</f>
        <v>0</v>
      </c>
      <c r="K66" s="960">
        <f>K60*$C$65</f>
        <v>0</v>
      </c>
      <c r="M66" s="960">
        <f>M60*$C$65</f>
        <v>0</v>
      </c>
      <c r="O66" s="960">
        <f>O60*$C$65</f>
        <v>0</v>
      </c>
      <c r="Q66" s="960">
        <f>Q60*$C$65</f>
        <v>0</v>
      </c>
      <c r="S66" s="960">
        <f>S60*$C$65</f>
        <v>0</v>
      </c>
      <c r="U66" s="960">
        <f>+U60-U62</f>
        <v>169988.78049750905</v>
      </c>
      <c r="W66" s="960">
        <f>+W60</f>
        <v>378530.1171903736</v>
      </c>
      <c r="Y66" s="960">
        <f t="shared" ref="Y66" si="15">+Y60</f>
        <v>405396.58916154585</v>
      </c>
      <c r="AA66" s="960">
        <f t="shared" ref="AA66" si="16">+AA60</f>
        <v>432572.54025119526</v>
      </c>
      <c r="AC66" s="960">
        <f t="shared" ref="AC66" si="17">+AC60</f>
        <v>460052.74882441264</v>
      </c>
      <c r="AE66" s="960">
        <f t="shared" ref="AE66" si="18">+AE60</f>
        <v>487831.39740123175</v>
      </c>
      <c r="AG66" s="960">
        <f t="shared" ref="AG66" si="19">+AG60</f>
        <v>515902.04093438073</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0">E68*$C$66</f>
        <v>0</v>
      </c>
      <c r="I68" s="960">
        <f t="shared" si="20"/>
        <v>0</v>
      </c>
      <c r="K68" s="960">
        <f t="shared" si="20"/>
        <v>0</v>
      </c>
      <c r="M68" s="960">
        <f t="shared" si="20"/>
        <v>0</v>
      </c>
      <c r="O68" s="960">
        <f t="shared" si="20"/>
        <v>0</v>
      </c>
      <c r="Q68" s="960">
        <f t="shared" si="20"/>
        <v>0</v>
      </c>
      <c r="S68" s="960">
        <f t="shared" si="20"/>
        <v>0</v>
      </c>
      <c r="U68" s="960">
        <f t="shared" si="20"/>
        <v>0</v>
      </c>
      <c r="W68" s="960">
        <f t="shared" si="20"/>
        <v>0</v>
      </c>
      <c r="Y68" s="960">
        <f t="shared" si="20"/>
        <v>0</v>
      </c>
      <c r="AA68" s="960">
        <f t="shared" si="20"/>
        <v>0</v>
      </c>
      <c r="AC68" s="960">
        <f t="shared" si="20"/>
        <v>0</v>
      </c>
      <c r="AE68" s="960">
        <f t="shared" si="20"/>
        <v>0</v>
      </c>
      <c r="AG68" s="960">
        <f t="shared" si="20"/>
        <v>0</v>
      </c>
    </row>
    <row r="69" spans="1:34" s="960" customFormat="1">
      <c r="A69" s="965"/>
      <c r="B69" s="965"/>
      <c r="C69" s="970"/>
      <c r="E69" s="967"/>
      <c r="G69" s="968">
        <f t="shared" si="20"/>
        <v>0</v>
      </c>
      <c r="I69" s="968">
        <f t="shared" si="20"/>
        <v>0</v>
      </c>
      <c r="K69" s="968">
        <f t="shared" si="20"/>
        <v>0</v>
      </c>
      <c r="M69" s="968">
        <f t="shared" si="20"/>
        <v>0</v>
      </c>
      <c r="O69" s="968">
        <f t="shared" si="20"/>
        <v>0</v>
      </c>
      <c r="Q69" s="968">
        <f t="shared" si="20"/>
        <v>0</v>
      </c>
      <c r="S69" s="968">
        <f t="shared" si="20"/>
        <v>0</v>
      </c>
      <c r="U69" s="968">
        <f t="shared" si="20"/>
        <v>0</v>
      </c>
      <c r="W69" s="968">
        <f t="shared" si="20"/>
        <v>0</v>
      </c>
      <c r="Y69" s="968">
        <f t="shared" si="20"/>
        <v>0</v>
      </c>
      <c r="AA69" s="968">
        <f t="shared" si="20"/>
        <v>0</v>
      </c>
      <c r="AC69" s="968">
        <f t="shared" si="20"/>
        <v>0</v>
      </c>
      <c r="AE69" s="968">
        <f t="shared" si="20"/>
        <v>0</v>
      </c>
      <c r="AG69" s="968">
        <f t="shared" si="20"/>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169988.78049750905</v>
      </c>
      <c r="W70" s="960">
        <f>SUM(W66:W69)</f>
        <v>378530.1171903736</v>
      </c>
      <c r="Y70" s="960">
        <f>SUM(Y66:Y69)</f>
        <v>405396.58916154585</v>
      </c>
      <c r="AA70" s="960">
        <f>SUM(AA66:AA69)</f>
        <v>432572.54025119526</v>
      </c>
      <c r="AC70" s="960">
        <f>SUM(AC66:AC69)</f>
        <v>460052.74882441264</v>
      </c>
      <c r="AE70" s="960">
        <f>SUM(AE66:AE69)</f>
        <v>487831.39740123175</v>
      </c>
      <c r="AG70" s="960">
        <f>SUM(AG66:AG69)</f>
        <v>515902.04093438073</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2900000</v>
      </c>
      <c r="C5" s="266">
        <f>'Sources and Uses Budget'!$C4</f>
        <v>2900000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2900000</v>
      </c>
      <c r="C9" s="270">
        <f>SUM(C5:C8)</f>
        <v>2900000</v>
      </c>
      <c r="D9" s="270">
        <f t="shared" si="0"/>
        <v>0</v>
      </c>
      <c r="E9" s="268"/>
      <c r="F9" s="267"/>
    </row>
    <row r="10" spans="1:6" s="352" customFormat="1">
      <c r="A10" s="364" t="s">
        <v>595</v>
      </c>
      <c r="B10" s="266">
        <f>'Sources and Uses Budget'!$C9</f>
        <v>18300000</v>
      </c>
      <c r="C10" s="266">
        <f>'Sources and Uses Budget'!$C9</f>
        <v>18300000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18300000</v>
      </c>
      <c r="C12" s="270">
        <f>SUM(C10:C11)</f>
        <v>18300000</v>
      </c>
      <c r="D12" s="270">
        <f t="shared" si="0"/>
        <v>0</v>
      </c>
      <c r="E12" s="268"/>
      <c r="F12" s="267"/>
    </row>
    <row r="13" spans="1:6" s="352" customFormat="1">
      <c r="A13" s="365" t="s">
        <v>84</v>
      </c>
      <c r="B13" s="270">
        <f>SUM(B9+B12)</f>
        <v>21200000</v>
      </c>
      <c r="C13" s="270">
        <f>SUM(C9+C12)</f>
        <v>21200000</v>
      </c>
      <c r="D13" s="270">
        <f t="shared" si="0"/>
        <v>0</v>
      </c>
      <c r="E13" s="268"/>
      <c r="F13" s="267"/>
    </row>
    <row r="14" spans="1:6" s="352" customFormat="1">
      <c r="A14" s="366" t="s">
        <v>903</v>
      </c>
      <c r="B14" s="266">
        <f>'Sources and Uses Budget'!$C13</f>
        <v>27500</v>
      </c>
      <c r="C14" s="266">
        <f>'Sources and Uses Budget'!$C13</f>
        <v>27500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8448000</v>
      </c>
      <c r="C19" s="266">
        <f>'Sources and Uses Budget'!$C18</f>
        <v>8448000</v>
      </c>
      <c r="D19" s="270">
        <f t="shared" si="0"/>
        <v>0</v>
      </c>
      <c r="E19" s="268"/>
      <c r="F19" s="267"/>
    </row>
    <row r="20" spans="1:6" s="352" customFormat="1">
      <c r="A20" s="145" t="s">
        <v>601</v>
      </c>
      <c r="B20" s="266">
        <f>'Sources and Uses Budget'!$C19</f>
        <v>683612</v>
      </c>
      <c r="C20" s="266">
        <f>'Sources and Uses Budget'!$C19</f>
        <v>683612</v>
      </c>
      <c r="D20" s="270">
        <f t="shared" si="0"/>
        <v>0</v>
      </c>
      <c r="E20" s="268"/>
      <c r="F20" s="267"/>
    </row>
    <row r="21" spans="1:6" s="352" customFormat="1">
      <c r="A21" s="145" t="s">
        <v>137</v>
      </c>
      <c r="B21" s="266">
        <f>'Sources and Uses Budget'!$C20</f>
        <v>128177</v>
      </c>
      <c r="C21" s="266">
        <f>'Sources and Uses Budget'!$C20</f>
        <v>128177</v>
      </c>
      <c r="D21" s="270">
        <f t="shared" si="0"/>
        <v>0</v>
      </c>
      <c r="E21" s="268"/>
      <c r="F21" s="267"/>
    </row>
    <row r="22" spans="1:6" s="352" customFormat="1">
      <c r="A22" s="145" t="s">
        <v>138</v>
      </c>
      <c r="B22" s="266">
        <f>'Sources and Uses Budget'!$C21</f>
        <v>384531</v>
      </c>
      <c r="C22" s="266">
        <f>'Sources and Uses Budget'!$C21</f>
        <v>384531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97152</v>
      </c>
      <c r="C24" s="266">
        <f>'Sources and Uses Budget'!$C23</f>
        <v>97152</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9741472</v>
      </c>
      <c r="C27" s="270">
        <f>SUM(C18:C26)</f>
        <v>9741472</v>
      </c>
      <c r="D27" s="270">
        <f>SUM(D18:D26)</f>
        <v>0</v>
      </c>
      <c r="E27" s="268"/>
      <c r="F27" s="267"/>
    </row>
    <row r="28" spans="1:6" s="352" customFormat="1">
      <c r="A28" s="271" t="s">
        <v>141</v>
      </c>
      <c r="B28" s="266">
        <f>'Sources and Uses Budget'!$C$27</f>
        <v>250000</v>
      </c>
      <c r="C28" s="266">
        <f>'Sources and Uses Budget'!$C$27</f>
        <v>250000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389659</v>
      </c>
      <c r="C41" s="266">
        <f>'Sources and Uses Budget'!$C40</f>
        <v>389659</v>
      </c>
      <c r="D41" s="270">
        <f t="shared" si="0"/>
        <v>0</v>
      </c>
      <c r="E41" s="268"/>
      <c r="F41" s="267"/>
    </row>
    <row r="42" spans="1:6" s="352" customFormat="1">
      <c r="A42" s="269" t="s">
        <v>146</v>
      </c>
      <c r="B42" s="266">
        <f>'Sources and Uses Budget'!$C41</f>
        <v>48707</v>
      </c>
      <c r="C42" s="266">
        <f>'Sources and Uses Budget'!$C41</f>
        <v>48707</v>
      </c>
      <c r="D42" s="270">
        <f t="shared" si="0"/>
        <v>0</v>
      </c>
      <c r="E42" s="268"/>
      <c r="F42" s="267"/>
    </row>
    <row r="43" spans="1:6" s="352" customFormat="1">
      <c r="A43" s="271" t="s">
        <v>147</v>
      </c>
      <c r="B43" s="270">
        <f>SUM(B41:B42)</f>
        <v>438366</v>
      </c>
      <c r="C43" s="270">
        <f>SUM(C41:C42)</f>
        <v>438366</v>
      </c>
      <c r="D43" s="270">
        <f t="shared" si="0"/>
        <v>0</v>
      </c>
      <c r="E43" s="268"/>
      <c r="F43" s="267"/>
    </row>
    <row r="44" spans="1:6" s="352" customFormat="1">
      <c r="A44" s="271" t="s">
        <v>148</v>
      </c>
      <c r="B44" s="266">
        <f>'Sources and Uses Budget'!$C43</f>
        <v>40000</v>
      </c>
      <c r="C44" s="266">
        <f>'Sources and Uses Budget'!$C43</f>
        <v>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2346893</v>
      </c>
      <c r="C46" s="266">
        <f>'Sources and Uses Budget'!$C45</f>
        <v>2346893</v>
      </c>
      <c r="D46" s="270">
        <f t="shared" si="0"/>
        <v>0</v>
      </c>
      <c r="E46" s="268"/>
      <c r="F46" s="267"/>
    </row>
    <row r="47" spans="1:6" s="352" customFormat="1">
      <c r="A47" s="145" t="s">
        <v>151</v>
      </c>
      <c r="B47" s="266">
        <f>'Sources and Uses Budget'!$C46</f>
        <v>665071</v>
      </c>
      <c r="C47" s="266">
        <f>'Sources and Uses Budget'!$C46</f>
        <v>665071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131510</v>
      </c>
      <c r="C49" s="266">
        <f>'Sources and Uses Budget'!$C48</f>
        <v>131510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82081</v>
      </c>
      <c r="C51" s="266">
        <f>'Sources and Uses Budget'!$C50</f>
        <v>82081</v>
      </c>
      <c r="D51" s="270">
        <f t="shared" si="0"/>
        <v>0</v>
      </c>
      <c r="E51" s="268"/>
      <c r="F51" s="267"/>
    </row>
    <row r="52" spans="1:6" s="352" customFormat="1">
      <c r="A52" s="283" t="s">
        <v>154</v>
      </c>
      <c r="B52" s="266">
        <f>'Sources and Uses Budget'!$C51</f>
        <v>17500</v>
      </c>
      <c r="C52" s="266">
        <f>'Sources and Uses Budget'!$C51</f>
        <v>17500</v>
      </c>
      <c r="D52" s="270">
        <f t="shared" si="0"/>
        <v>0</v>
      </c>
      <c r="E52" s="268"/>
      <c r="F52" s="267"/>
    </row>
    <row r="53" spans="1:6" s="352" customFormat="1">
      <c r="A53" s="145" t="s">
        <v>155</v>
      </c>
      <c r="B53" s="266">
        <f>'Sources and Uses Budget'!$C52</f>
        <v>200000</v>
      </c>
      <c r="C53" s="266">
        <f>'Sources and Uses Budget'!$C52</f>
        <v>200000</v>
      </c>
      <c r="D53" s="270">
        <f t="shared" si="0"/>
        <v>0</v>
      </c>
      <c r="E53" s="268"/>
      <c r="F53" s="267"/>
    </row>
    <row r="54" spans="1:6" s="352" customFormat="1">
      <c r="A54" s="155" t="str">
        <f>'Sources and Uses Budget'!A53</f>
        <v>Other: Third-Party Reports</v>
      </c>
      <c r="B54" s="266">
        <f>'Sources and Uses Budget'!$C53</f>
        <v>115250</v>
      </c>
      <c r="C54" s="266">
        <f>'Sources and Uses Budget'!$C53</f>
        <v>115250</v>
      </c>
      <c r="D54" s="270">
        <f t="shared" si="0"/>
        <v>0</v>
      </c>
      <c r="E54" s="268"/>
      <c r="F54" s="267"/>
    </row>
    <row r="55" spans="1:6" s="353" customFormat="1">
      <c r="A55" s="271" t="s">
        <v>157</v>
      </c>
      <c r="B55" s="273">
        <f>SUM(B46:B54)</f>
        <v>3558305</v>
      </c>
      <c r="C55" s="273">
        <f>SUM(C46:C54)</f>
        <v>3558305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62160</v>
      </c>
      <c r="C59" s="266">
        <f>'Sources and Uses Budget'!$C58</f>
        <v>62160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62160</v>
      </c>
      <c r="C63" s="270">
        <f>SUM(C57:C62)</f>
        <v>62160</v>
      </c>
      <c r="D63" s="270">
        <f t="shared" si="0"/>
        <v>0</v>
      </c>
      <c r="E63" s="268"/>
      <c r="F63" s="267"/>
    </row>
    <row r="64" spans="1:6" s="352" customFormat="1">
      <c r="A64" s="274" t="s">
        <v>302</v>
      </c>
      <c r="B64" s="270">
        <f>SUM(B9+B12+B14+B15+B17+B26+B28+B39+B43+B44+B55+B63)</f>
        <v>25576331</v>
      </c>
      <c r="C64" s="270">
        <f>SUM(C9+C12+C14+C15+C17+C26+C28+C39+C43+C44+C55+C63)</f>
        <v>25576331</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230000</v>
      </c>
      <c r="C66" s="266">
        <f>'Sources and Uses Budget'!$C65</f>
        <v>230000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230000</v>
      </c>
      <c r="C71" s="270">
        <f>SUM(C66:C70)</f>
        <v>230000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458000</v>
      </c>
      <c r="C76" s="266">
        <f>'Sources and Uses Budget'!$C75</f>
        <v>458000</v>
      </c>
      <c r="D76" s="270">
        <f t="shared" si="0"/>
        <v>0</v>
      </c>
      <c r="E76" s="268"/>
      <c r="F76" s="267"/>
    </row>
    <row r="77" spans="1:6" s="352" customFormat="1">
      <c r="A77" s="272" t="s">
        <v>34</v>
      </c>
      <c r="B77" s="266">
        <f>'Sources and Uses Budget'!$C76</f>
        <v>442000</v>
      </c>
      <c r="C77" s="266">
        <f>'Sources and Uses Budget'!$C76</f>
        <v>442000</v>
      </c>
      <c r="D77" s="270">
        <f t="shared" si="0"/>
        <v>0</v>
      </c>
      <c r="E77" s="268"/>
      <c r="F77" s="267"/>
    </row>
    <row r="78" spans="1:6" s="352" customFormat="1">
      <c r="A78" s="271" t="s">
        <v>607</v>
      </c>
      <c r="B78" s="270">
        <f>SUM(B73:B77)</f>
        <v>900000</v>
      </c>
      <c r="C78" s="270">
        <f>SUM(C73:C77)</f>
        <v>900000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974147</v>
      </c>
      <c r="C80" s="266">
        <f>'Sources and Uses Budget'!$C79</f>
        <v>974147</v>
      </c>
      <c r="D80" s="270">
        <f t="shared" si="1"/>
        <v>0</v>
      </c>
      <c r="E80" s="268"/>
      <c r="F80" s="267"/>
    </row>
    <row r="81" spans="1:6" s="352" customFormat="1">
      <c r="A81" s="510" t="s">
        <v>58</v>
      </c>
      <c r="B81" s="266">
        <f>'Sources and Uses Budget'!$C80</f>
        <v>44858</v>
      </c>
      <c r="C81" s="266">
        <f>'Sources and Uses Budget'!$C80</f>
        <v>44858</v>
      </c>
      <c r="D81" s="270">
        <f>C81-B81</f>
        <v>0</v>
      </c>
      <c r="E81" s="268"/>
      <c r="F81" s="267"/>
    </row>
    <row r="82" spans="1:6" s="352" customFormat="1">
      <c r="A82" s="271" t="s">
        <v>1210</v>
      </c>
      <c r="B82" s="270">
        <f>SUM(B80:B81)</f>
        <v>1019005</v>
      </c>
      <c r="C82" s="270">
        <f>SUM(C80:C81)</f>
        <v>1019005</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88879</v>
      </c>
      <c r="C84" s="266">
        <f>'Sources and Uses Budget'!$C83</f>
        <v>88879</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100000</v>
      </c>
      <c r="C87" s="266">
        <f>'Sources and Uses Budget'!$C86</f>
        <v>100000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350000</v>
      </c>
      <c r="C90" s="266">
        <f>'Sources and Uses Budget'!$C89</f>
        <v>350000</v>
      </c>
      <c r="D90" s="270">
        <f t="shared" si="1"/>
        <v>0</v>
      </c>
      <c r="E90" s="268"/>
      <c r="F90" s="267"/>
    </row>
    <row r="91" spans="1:6" s="352" customFormat="1">
      <c r="A91" s="269" t="s">
        <v>774</v>
      </c>
      <c r="B91" s="266">
        <f>'Sources and Uses Budget'!$C90</f>
        <v>20000</v>
      </c>
      <c r="C91" s="266">
        <f>'Sources and Uses Budget'!$C90</f>
        <v>20000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15000</v>
      </c>
      <c r="C94" s="266">
        <f>'Sources and Uses Budget'!$C93</f>
        <v>15000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588879</v>
      </c>
      <c r="C97" s="270">
        <f>SUM(C84:C96)</f>
        <v>588879</v>
      </c>
      <c r="D97" s="270">
        <f t="shared" si="1"/>
        <v>0</v>
      </c>
      <c r="E97" s="268"/>
      <c r="F97" s="267"/>
    </row>
    <row r="98" spans="1:6" s="352" customFormat="1">
      <c r="A98" s="271" t="s">
        <v>776</v>
      </c>
      <c r="B98" s="270">
        <f>SUM(B64+B71+B78+B82+B97)</f>
        <v>28314215</v>
      </c>
      <c r="C98" s="270">
        <f>SUM(C64+C71+C78+C82+C97)</f>
        <v>28314215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3553125</v>
      </c>
      <c r="C100" s="266">
        <f>'Sources and Uses Budget'!$C99</f>
        <v>3553125</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3553125</v>
      </c>
      <c r="C105" s="270">
        <f>SUM(C100:C104)</f>
        <v>3553125</v>
      </c>
      <c r="D105" s="270">
        <f t="shared" si="1"/>
        <v>0</v>
      </c>
      <c r="E105" s="268"/>
      <c r="F105" s="267"/>
    </row>
    <row r="106" spans="1:6" s="352" customFormat="1">
      <c r="A106" s="271" t="s">
        <v>781</v>
      </c>
      <c r="B106" s="273">
        <f>SUM(B98+B105)</f>
        <v>31867340</v>
      </c>
      <c r="C106" s="273">
        <f>SUM(C98+C105)</f>
        <v>31867340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1190</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1191</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9" t="s">
        <v>2045</v>
      </c>
      <c r="B72" s="1269"/>
      <c r="C72" s="1269"/>
      <c r="D72" s="1269"/>
      <c r="E72" s="1269"/>
    </row>
    <row r="73" spans="1:9" ht="13.2">
      <c r="A73" s="1269" t="s">
        <v>2046</v>
      </c>
      <c r="B73" s="1269"/>
      <c r="C73" s="1269"/>
      <c r="D73" s="1269"/>
      <c r="E73" s="1269"/>
    </row>
    <row r="74" spans="1:9" ht="13.2">
      <c r="A74" s="1269" t="s">
        <v>1871</v>
      </c>
      <c r="B74" s="1269"/>
      <c r="C74" s="1269"/>
      <c r="D74" s="1269"/>
      <c r="E74" s="1269"/>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82" workbookViewId="0">
      <selection activeCell="D590" sqref="D590:F593"/>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65"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4">
      <c r="A15" s="484"/>
      <c r="B15" s="485" t="s">
        <v>2729</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4">
      <c r="A20" s="484"/>
      <c r="B20" s="485" t="s">
        <v>2730</v>
      </c>
      <c r="D20" s="1301" t="s">
        <v>1923</v>
      </c>
      <c r="E20" s="1301"/>
      <c r="F20" s="1301"/>
      <c r="I20" s="490"/>
    </row>
    <row r="21" spans="1:9" ht="14.4">
      <c r="A21" s="484"/>
      <c r="D21" s="1301"/>
      <c r="E21" s="1301"/>
      <c r="F21" s="1301"/>
      <c r="I21" s="490"/>
    </row>
    <row r="22" spans="1:9" ht="14.4">
      <c r="A22" s="484"/>
      <c r="D22" s="392"/>
      <c r="E22" s="96" t="s">
        <v>1919</v>
      </c>
      <c r="F22" s="392"/>
      <c r="I22" s="490"/>
    </row>
    <row r="23" spans="1:9" ht="14.4">
      <c r="A23" s="484"/>
      <c r="B23" s="484"/>
      <c r="D23" s="446"/>
      <c r="I23" s="490"/>
    </row>
    <row r="24" spans="1:9" ht="14.4">
      <c r="A24" s="484"/>
      <c r="B24" s="485" t="s">
        <v>2706</v>
      </c>
      <c r="D24" s="1301" t="s">
        <v>1092</v>
      </c>
      <c r="E24" s="1301"/>
      <c r="F24" s="1301"/>
      <c r="I24" s="490"/>
    </row>
    <row r="25" spans="1:9" ht="14.4">
      <c r="A25" s="484"/>
      <c r="B25" s="484"/>
      <c r="D25" s="1301"/>
      <c r="E25" s="1301"/>
      <c r="F25" s="1301"/>
      <c r="I25" s="490"/>
    </row>
    <row r="26" spans="1:9">
      <c r="I26" s="490"/>
    </row>
    <row r="27" spans="1:9" ht="14.4">
      <c r="A27" s="484"/>
      <c r="B27" s="485" t="s">
        <v>2729</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2729</v>
      </c>
      <c r="D33" s="1301" t="s">
        <v>2049</v>
      </c>
      <c r="E33" s="1301"/>
      <c r="F33" s="1301"/>
      <c r="I33" s="490"/>
    </row>
    <row r="34" spans="1:9">
      <c r="D34" s="1301"/>
      <c r="E34" s="1301"/>
      <c r="F34" s="1301"/>
      <c r="I34" s="490"/>
    </row>
    <row r="35" spans="1:9" ht="14.4">
      <c r="A35" s="484"/>
      <c r="B35" s="484"/>
      <c r="D35" s="447"/>
      <c r="I35" s="490"/>
    </row>
    <row r="36" spans="1:9" ht="14.4" customHeight="1">
      <c r="A36" s="484"/>
      <c r="B36" s="485" t="s">
        <v>2730</v>
      </c>
      <c r="D36" s="1301" t="s">
        <v>1215</v>
      </c>
      <c r="E36" s="1301"/>
      <c r="F36" s="1301"/>
      <c r="I36" s="490"/>
    </row>
    <row r="37" spans="1:9" ht="14.4">
      <c r="A37" s="484"/>
      <c r="B37" s="484"/>
      <c r="D37" s="1301"/>
      <c r="E37" s="1301"/>
      <c r="F37" s="1301"/>
      <c r="I37" s="490"/>
    </row>
    <row r="38" spans="1:9" ht="14.4">
      <c r="A38" s="484"/>
      <c r="B38" s="484"/>
      <c r="D38" s="1301"/>
      <c r="E38" s="1301"/>
      <c r="F38" s="1301"/>
      <c r="I38" s="490"/>
    </row>
    <row r="39" spans="1:9" ht="14.4">
      <c r="A39" s="484"/>
      <c r="B39" s="484"/>
      <c r="D39" s="1301"/>
      <c r="E39" s="1301"/>
      <c r="F39" s="1301"/>
      <c r="I39" s="490"/>
    </row>
    <row r="40" spans="1:9" ht="14.4">
      <c r="A40" s="484"/>
      <c r="B40" s="484"/>
      <c r="I40" s="490"/>
    </row>
    <row r="41" spans="1:9" ht="14.4">
      <c r="A41" s="484"/>
      <c r="B41" s="485" t="s">
        <v>2706</v>
      </c>
      <c r="D41" s="1301" t="s">
        <v>1093</v>
      </c>
      <c r="E41" s="1301"/>
      <c r="F41" s="1301"/>
      <c r="I41" s="490"/>
    </row>
    <row r="42" spans="1:9" ht="14.4">
      <c r="A42" s="484"/>
      <c r="B42" s="484"/>
      <c r="D42" s="1301"/>
      <c r="E42" s="1301"/>
      <c r="F42" s="1301"/>
      <c r="I42" s="490"/>
    </row>
    <row r="43" spans="1:9" ht="14.4">
      <c r="A43" s="484"/>
      <c r="B43" s="484"/>
      <c r="D43" s="1301"/>
      <c r="E43" s="1301"/>
      <c r="F43" s="1301"/>
      <c r="I43" s="490"/>
    </row>
    <row r="44" spans="1:9" ht="14.4">
      <c r="A44" s="484"/>
      <c r="B44" s="484"/>
      <c r="D44" s="1301"/>
      <c r="E44" s="1301"/>
      <c r="F44" s="1301"/>
      <c r="I44" s="490"/>
    </row>
    <row r="45" spans="1:9" ht="14.4">
      <c r="A45" s="484"/>
      <c r="B45" s="484"/>
      <c r="D45" s="1301"/>
      <c r="E45" s="1301"/>
      <c r="F45" s="1301"/>
      <c r="I45" s="490"/>
    </row>
    <row r="46" spans="1:9" ht="14.4">
      <c r="A46" s="484"/>
      <c r="B46" s="484"/>
      <c r="D46" s="445"/>
      <c r="E46" s="445"/>
      <c r="F46" s="445"/>
      <c r="I46" s="490"/>
    </row>
    <row r="47" spans="1:9" ht="14.4">
      <c r="A47" s="484"/>
      <c r="B47" s="485" t="s">
        <v>2706</v>
      </c>
      <c r="D47" s="1301" t="s">
        <v>1094</v>
      </c>
      <c r="E47" s="1301"/>
      <c r="F47" s="1301"/>
      <c r="I47" s="490"/>
    </row>
    <row r="48" spans="1:9" ht="14.4">
      <c r="A48" s="484"/>
      <c r="B48" s="484"/>
      <c r="D48" s="1301"/>
      <c r="E48" s="1301"/>
      <c r="F48" s="1301"/>
      <c r="I48" s="490"/>
    </row>
    <row r="49" spans="1:9" ht="14.4">
      <c r="A49" s="484"/>
      <c r="B49" s="484"/>
      <c r="D49" s="1301"/>
      <c r="E49" s="1301"/>
      <c r="F49" s="1301"/>
      <c r="I49" s="490"/>
    </row>
    <row r="50" spans="1:9" ht="23.25" customHeight="1">
      <c r="A50" s="484"/>
      <c r="B50" s="484"/>
      <c r="D50" s="1301"/>
      <c r="E50" s="1301"/>
      <c r="F50" s="1301"/>
      <c r="I50" s="490"/>
    </row>
    <row r="51" spans="1:9" ht="14.4">
      <c r="A51" s="484"/>
      <c r="B51" s="484"/>
      <c r="D51" s="446"/>
      <c r="I51" s="490"/>
    </row>
    <row r="52" spans="1:9" ht="14.4" customHeight="1">
      <c r="A52" s="484"/>
      <c r="B52" s="485" t="s">
        <v>2729</v>
      </c>
      <c r="D52" s="1301" t="s">
        <v>1095</v>
      </c>
      <c r="E52" s="1301"/>
      <c r="F52" s="1301"/>
      <c r="I52" s="490"/>
    </row>
    <row r="53" spans="1:9" ht="14.4">
      <c r="A53" s="484"/>
      <c r="B53" s="484"/>
      <c r="D53" s="1301"/>
      <c r="E53" s="1301"/>
      <c r="F53" s="1301"/>
      <c r="I53" s="490"/>
    </row>
    <row r="54" spans="1:9" ht="14.4">
      <c r="A54" s="484"/>
      <c r="B54" s="484"/>
      <c r="D54" s="1301"/>
      <c r="E54" s="1301"/>
      <c r="F54" s="1301"/>
      <c r="I54" s="490"/>
    </row>
    <row r="55" spans="1:9" ht="14.4">
      <c r="A55" s="484"/>
      <c r="B55" s="484"/>
      <c r="I55" s="490"/>
    </row>
    <row r="56" spans="1:9" ht="14.4">
      <c r="A56" s="484"/>
      <c r="B56" s="485" t="s">
        <v>2730</v>
      </c>
      <c r="D56" s="1324" t="s">
        <v>1096</v>
      </c>
      <c r="E56" s="1324"/>
      <c r="F56" s="1324"/>
      <c r="I56" s="490"/>
    </row>
    <row r="57" spans="1:9" ht="14.4">
      <c r="A57" s="484"/>
      <c r="B57" s="484"/>
      <c r="D57" s="1324"/>
      <c r="E57" s="1324"/>
      <c r="F57" s="1324"/>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2706</v>
      </c>
      <c r="D61" s="1301" t="s">
        <v>1097</v>
      </c>
      <c r="E61" s="1301"/>
      <c r="F61" s="1301"/>
      <c r="I61" s="490"/>
    </row>
    <row r="62" spans="1:9">
      <c r="D62" s="1301"/>
      <c r="E62" s="1301"/>
      <c r="F62" s="1301"/>
      <c r="I62" s="490"/>
    </row>
    <row r="63" spans="1:9">
      <c r="D63" s="1301"/>
      <c r="E63" s="1301"/>
      <c r="F63" s="1301"/>
      <c r="I63" s="490"/>
    </row>
    <row r="64" spans="1:9">
      <c r="I64" s="490"/>
    </row>
    <row r="65" spans="1:9" ht="14.4">
      <c r="A65" s="484"/>
      <c r="B65" s="485" t="s">
        <v>2706</v>
      </c>
      <c r="D65" s="1301" t="s">
        <v>1098</v>
      </c>
      <c r="E65" s="1301"/>
      <c r="F65" s="1301"/>
      <c r="I65" s="490"/>
    </row>
    <row r="66" spans="1:9">
      <c r="D66" s="1301"/>
      <c r="E66" s="1301"/>
      <c r="F66" s="1301"/>
      <c r="I66" s="490"/>
    </row>
    <row r="67" spans="1:9">
      <c r="I67" s="490"/>
    </row>
    <row r="68" spans="1:9" ht="14.4">
      <c r="A68" s="484"/>
      <c r="B68" s="485" t="s">
        <v>2729</v>
      </c>
      <c r="D68" s="1301" t="s">
        <v>1099</v>
      </c>
      <c r="E68" s="1301"/>
      <c r="F68" s="1301"/>
      <c r="I68" s="490"/>
    </row>
    <row r="69" spans="1:9">
      <c r="D69" s="1301"/>
      <c r="E69" s="1301"/>
      <c r="F69" s="1301"/>
      <c r="I69" s="490"/>
    </row>
    <row r="70" spans="1:9">
      <c r="D70" s="1301"/>
      <c r="E70" s="1301"/>
      <c r="F70" s="1301"/>
      <c r="I70" s="490"/>
    </row>
    <row r="71" spans="1:9">
      <c r="I71" s="490"/>
    </row>
    <row r="72" spans="1:9" ht="14.4">
      <c r="A72" s="484"/>
      <c r="B72" s="485" t="s">
        <v>2729</v>
      </c>
      <c r="D72" s="1301" t="s">
        <v>1100</v>
      </c>
      <c r="E72" s="1301"/>
      <c r="F72" s="1301"/>
      <c r="I72" s="490"/>
    </row>
    <row r="73" spans="1:9">
      <c r="D73" s="1301"/>
      <c r="E73" s="1301"/>
      <c r="F73" s="1301"/>
      <c r="I73" s="490"/>
    </row>
    <row r="74" spans="1:9" ht="14.4">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65" customHeight="1">
      <c r="A80" s="484"/>
      <c r="B80" s="485" t="s">
        <v>307</v>
      </c>
      <c r="D80" s="1301" t="s">
        <v>1246</v>
      </c>
      <c r="E80" s="1301"/>
      <c r="F80" s="1301"/>
      <c r="I80" s="490"/>
    </row>
    <row r="81" spans="1:9" ht="14.4">
      <c r="A81" s="484"/>
      <c r="B81" s="484"/>
      <c r="D81" s="1301"/>
      <c r="E81" s="1301"/>
      <c r="F81" s="1301"/>
      <c r="I81" s="490"/>
    </row>
    <row r="82" spans="1:9" ht="14.4">
      <c r="A82" s="484"/>
      <c r="B82" s="484"/>
      <c r="D82" s="1301"/>
      <c r="E82" s="1301"/>
      <c r="F82" s="1301"/>
      <c r="I82" s="490"/>
    </row>
    <row r="83" spans="1:9" ht="14.4">
      <c r="A83" s="484"/>
      <c r="B83" s="484"/>
      <c r="D83" s="1301"/>
      <c r="E83" s="1301"/>
      <c r="F83" s="1301"/>
      <c r="I83" s="490"/>
    </row>
    <row r="84" spans="1:9" ht="14.4">
      <c r="A84" s="484"/>
      <c r="B84" s="484"/>
      <c r="D84" s="1301"/>
      <c r="E84" s="1301"/>
      <c r="F84" s="1301"/>
      <c r="I84" s="490"/>
    </row>
    <row r="85" spans="1:9" ht="14.4">
      <c r="A85" s="484"/>
      <c r="B85" s="484"/>
      <c r="D85" s="1301"/>
      <c r="E85" s="1301"/>
      <c r="F85" s="1301"/>
      <c r="I85" s="490"/>
    </row>
    <row r="86" spans="1:9" ht="14.4">
      <c r="A86" s="484"/>
      <c r="B86" s="484"/>
      <c r="D86" s="1301"/>
      <c r="E86" s="1301"/>
      <c r="F86" s="1301"/>
      <c r="I86" s="490"/>
    </row>
    <row r="87" spans="1:9" ht="14.4">
      <c r="A87" s="484"/>
      <c r="B87" s="484"/>
      <c r="D87" s="1301"/>
      <c r="E87" s="1301"/>
      <c r="F87" s="1301"/>
      <c r="I87" s="490"/>
    </row>
    <row r="88" spans="1:9" ht="14.4">
      <c r="A88" s="484"/>
      <c r="B88" s="484"/>
      <c r="D88" s="385"/>
      <c r="E88" s="385"/>
      <c r="F88" s="385"/>
      <c r="I88" s="490"/>
    </row>
    <row r="89" spans="1:9" ht="15" customHeight="1">
      <c r="A89" s="484"/>
      <c r="B89" s="485" t="s">
        <v>307</v>
      </c>
      <c r="D89" s="1301" t="s">
        <v>1743</v>
      </c>
      <c r="E89" s="1301"/>
      <c r="F89" s="1301"/>
      <c r="I89" s="490"/>
    </row>
    <row r="90" spans="1:9" ht="14.4">
      <c r="A90" s="484"/>
      <c r="B90" s="484"/>
      <c r="D90" s="1301"/>
      <c r="E90" s="1301"/>
      <c r="F90" s="1301"/>
      <c r="I90" s="490"/>
    </row>
    <row r="91" spans="1:9" ht="14.4">
      <c r="A91" s="484"/>
      <c r="B91" s="484"/>
      <c r="D91" s="445"/>
      <c r="E91" s="445"/>
      <c r="F91" s="445"/>
      <c r="I91" s="490"/>
    </row>
    <row r="92" spans="1:9" ht="14.4">
      <c r="A92" s="484"/>
      <c r="B92" s="485" t="s">
        <v>307</v>
      </c>
      <c r="D92" s="1301" t="s">
        <v>1746</v>
      </c>
      <c r="E92" s="1301"/>
      <c r="F92" s="1301"/>
      <c r="I92" s="490"/>
    </row>
    <row r="93" spans="1:9" ht="14.4">
      <c r="A93" s="484"/>
      <c r="B93" s="484"/>
      <c r="D93" s="1301"/>
      <c r="E93" s="1301"/>
      <c r="F93" s="1301"/>
      <c r="I93" s="490"/>
    </row>
    <row r="94" spans="1:9" ht="14.4">
      <c r="A94" s="484"/>
      <c r="B94" s="484"/>
      <c r="D94" s="1301"/>
      <c r="E94" s="1301"/>
      <c r="F94" s="1301"/>
      <c r="I94" s="490"/>
    </row>
    <row r="95" spans="1:9" ht="14.4">
      <c r="A95" s="484"/>
      <c r="B95" s="484"/>
      <c r="D95" s="445"/>
      <c r="E95" s="445"/>
      <c r="F95" s="445"/>
      <c r="I95" s="490"/>
    </row>
    <row r="96" spans="1:9" ht="14.4">
      <c r="A96" s="484"/>
      <c r="B96" s="485" t="s">
        <v>307</v>
      </c>
      <c r="D96" s="1301" t="s">
        <v>1745</v>
      </c>
      <c r="E96" s="1301"/>
      <c r="F96" s="1301"/>
      <c r="I96" s="490"/>
    </row>
    <row r="97" spans="1:9" s="987" customFormat="1" ht="14.4">
      <c r="A97" s="985"/>
      <c r="B97" s="985"/>
      <c r="C97" s="986"/>
      <c r="D97" s="1301"/>
      <c r="E97" s="1301"/>
      <c r="F97" s="1301"/>
      <c r="I97" s="1154"/>
    </row>
    <row r="98" spans="1:9" ht="14.4">
      <c r="A98" s="484"/>
      <c r="B98" s="484"/>
      <c r="D98" s="392"/>
      <c r="E98" s="312" t="s">
        <v>1924</v>
      </c>
      <c r="F98" s="445"/>
      <c r="I98" s="490"/>
    </row>
    <row r="99" spans="1:9" ht="14.4">
      <c r="A99" s="484"/>
      <c r="B99" s="484"/>
      <c r="D99" s="385"/>
      <c r="E99" s="385"/>
      <c r="F99" s="385"/>
      <c r="I99" s="490"/>
    </row>
    <row r="100" spans="1:9" ht="14.4">
      <c r="A100" s="484"/>
      <c r="B100" s="485" t="s">
        <v>307</v>
      </c>
      <c r="D100" s="1301" t="s">
        <v>1744</v>
      </c>
      <c r="E100" s="1301"/>
      <c r="F100" s="1301"/>
      <c r="I100" s="490"/>
    </row>
    <row r="101" spans="1:9" ht="14.4">
      <c r="A101" s="484"/>
      <c r="B101" s="484"/>
      <c r="D101" s="1301"/>
      <c r="E101" s="1301"/>
      <c r="F101" s="1301"/>
      <c r="I101" s="490"/>
    </row>
    <row r="102" spans="1:9" ht="14.4">
      <c r="A102" s="484"/>
      <c r="B102" s="484"/>
      <c r="D102" s="445"/>
      <c r="E102" s="445"/>
      <c r="F102" s="445"/>
      <c r="I102" s="490"/>
    </row>
    <row r="103" spans="1:9" ht="14.4" customHeight="1">
      <c r="A103" s="484"/>
      <c r="B103" s="485" t="s">
        <v>2706</v>
      </c>
      <c r="D103" s="1301" t="s">
        <v>1195</v>
      </c>
      <c r="E103" s="1301"/>
      <c r="F103" s="1301"/>
      <c r="I103" s="490"/>
    </row>
    <row r="104" spans="1:9" ht="14.4">
      <c r="A104" s="484"/>
      <c r="B104" s="484"/>
      <c r="D104" s="1301"/>
      <c r="E104" s="1301"/>
      <c r="F104" s="1301"/>
      <c r="I104" s="490"/>
    </row>
    <row r="105" spans="1:9" ht="14.4">
      <c r="A105" s="484"/>
      <c r="B105" s="484"/>
      <c r="D105" s="1301"/>
      <c r="E105" s="1301"/>
      <c r="F105" s="1301"/>
      <c r="I105" s="490"/>
    </row>
    <row r="106" spans="1:9" ht="14.4">
      <c r="A106" s="484"/>
      <c r="B106" s="484"/>
      <c r="D106" s="1301"/>
      <c r="E106" s="1301"/>
      <c r="F106" s="1301"/>
      <c r="I106" s="490"/>
    </row>
    <row r="107" spans="1:9" ht="14.4">
      <c r="A107" s="484"/>
      <c r="B107" s="484"/>
      <c r="D107" s="1301"/>
      <c r="E107" s="1301"/>
      <c r="F107" s="1301"/>
      <c r="I107" s="490"/>
    </row>
    <row r="108" spans="1:9" ht="14.4">
      <c r="A108" s="484"/>
      <c r="B108" s="484"/>
      <c r="D108" s="1301"/>
      <c r="E108" s="1301"/>
      <c r="F108" s="1301"/>
      <c r="I108" s="490"/>
    </row>
    <row r="109" spans="1:9" ht="14.4">
      <c r="A109" s="484"/>
      <c r="B109" s="484"/>
      <c r="D109" s="1301"/>
      <c r="E109" s="1301"/>
      <c r="F109" s="1301"/>
      <c r="I109" s="490"/>
    </row>
    <row r="110" spans="1:9" ht="14.4">
      <c r="A110" s="484"/>
      <c r="B110" s="484"/>
      <c r="D110" s="1301"/>
      <c r="E110" s="1301"/>
      <c r="F110" s="1301"/>
      <c r="I110" s="490"/>
    </row>
    <row r="111" spans="1:9" ht="14.4">
      <c r="A111" s="484"/>
      <c r="B111" s="484"/>
      <c r="D111" s="1301"/>
      <c r="E111" s="1301"/>
      <c r="F111" s="1301"/>
      <c r="I111" s="490"/>
    </row>
    <row r="112" spans="1:9" ht="14.4">
      <c r="A112" s="484"/>
      <c r="B112" s="484"/>
      <c r="D112" s="1301"/>
      <c r="E112" s="1301"/>
      <c r="F112" s="1301"/>
      <c r="I112" s="490"/>
    </row>
    <row r="113" spans="1:9" ht="14.4">
      <c r="A113" s="484"/>
      <c r="B113" s="484"/>
      <c r="D113" s="1301"/>
      <c r="E113" s="1301"/>
      <c r="F113" s="1301"/>
      <c r="I113" s="490"/>
    </row>
    <row r="114" spans="1:9" ht="14.4">
      <c r="A114" s="484"/>
      <c r="B114" s="484"/>
      <c r="D114" s="1301"/>
      <c r="E114" s="1301"/>
      <c r="F114" s="1301"/>
      <c r="I114" s="490"/>
    </row>
    <row r="115" spans="1:9" ht="14.4">
      <c r="A115" s="484"/>
      <c r="B115" s="484"/>
      <c r="D115" s="1301"/>
      <c r="E115" s="1301"/>
      <c r="F115" s="1301"/>
      <c r="I115" s="490"/>
    </row>
    <row r="116" spans="1:9" ht="14.4">
      <c r="A116" s="484"/>
      <c r="B116" s="484"/>
      <c r="D116" s="1301"/>
      <c r="E116" s="1301"/>
      <c r="F116" s="1301"/>
      <c r="I116" s="490"/>
    </row>
    <row r="117" spans="1:9" ht="14.4">
      <c r="A117" s="484"/>
      <c r="B117" s="484"/>
      <c r="D117" s="1301"/>
      <c r="E117" s="1301"/>
      <c r="F117" s="1301"/>
      <c r="I117" s="490"/>
    </row>
    <row r="118" spans="1:9" ht="14.4">
      <c r="A118" s="484"/>
      <c r="B118" s="484"/>
      <c r="D118" s="524"/>
      <c r="E118" s="524"/>
      <c r="F118" s="524"/>
      <c r="I118" s="490"/>
    </row>
    <row r="119" spans="1:9" ht="14.25" customHeight="1">
      <c r="A119" s="484"/>
      <c r="B119" s="485" t="s">
        <v>307</v>
      </c>
      <c r="D119" s="1323" t="s">
        <v>1104</v>
      </c>
      <c r="E119" s="1323"/>
      <c r="F119" s="1323"/>
      <c r="I119" s="490"/>
    </row>
    <row r="120" spans="1:9" ht="14.4">
      <c r="A120" s="484"/>
      <c r="B120" s="484"/>
      <c r="D120" s="1323"/>
      <c r="E120" s="1323"/>
      <c r="F120" s="1323"/>
      <c r="I120" s="490"/>
    </row>
    <row r="121" spans="1:9" ht="14.4">
      <c r="A121" s="484"/>
      <c r="B121" s="484"/>
      <c r="D121" s="1323"/>
      <c r="E121" s="1323"/>
      <c r="F121" s="1323"/>
      <c r="I121" s="490"/>
    </row>
    <row r="122" spans="1:9" ht="14.4">
      <c r="A122" s="484"/>
      <c r="B122" s="484"/>
      <c r="D122" s="1323"/>
      <c r="E122" s="1323"/>
      <c r="F122" s="1323"/>
      <c r="I122" s="490"/>
    </row>
    <row r="123" spans="1:9" ht="14.4">
      <c r="A123" s="484"/>
      <c r="B123" s="484"/>
      <c r="D123" s="1323"/>
      <c r="E123" s="1323"/>
      <c r="F123" s="1323"/>
      <c r="I123" s="490"/>
    </row>
    <row r="124" spans="1:9" ht="14.4">
      <c r="A124" s="484"/>
      <c r="B124" s="484"/>
      <c r="D124" s="1323"/>
      <c r="E124" s="1323"/>
      <c r="F124" s="1323"/>
      <c r="I124" s="490"/>
    </row>
    <row r="125" spans="1:9" ht="14.4">
      <c r="A125" s="484"/>
      <c r="B125" s="484"/>
      <c r="D125" s="1323"/>
      <c r="E125" s="1323"/>
      <c r="F125" s="1323"/>
      <c r="I125" s="490"/>
    </row>
    <row r="126" spans="1:9" ht="14.4">
      <c r="A126" s="484"/>
      <c r="B126" s="484"/>
      <c r="D126" s="1323"/>
      <c r="E126" s="1323"/>
      <c r="F126" s="1323"/>
      <c r="I126" s="490"/>
    </row>
    <row r="127" spans="1:9">
      <c r="C127" s="402"/>
      <c r="D127" s="525"/>
      <c r="E127" s="525"/>
      <c r="F127" s="525"/>
      <c r="I127" s="490"/>
    </row>
    <row r="128" spans="1:9" ht="14.4">
      <c r="A128" s="484"/>
      <c r="B128" s="485" t="s">
        <v>307</v>
      </c>
      <c r="C128" s="402"/>
      <c r="D128" s="1323" t="s">
        <v>2050</v>
      </c>
      <c r="E128" s="1323"/>
      <c r="F128" s="1323"/>
      <c r="I128" s="490"/>
    </row>
    <row r="129" spans="1:9" ht="14.4">
      <c r="A129" s="484"/>
      <c r="B129" s="484"/>
      <c r="C129" s="402"/>
      <c r="D129" s="1323"/>
      <c r="E129" s="1323"/>
      <c r="F129" s="1323"/>
      <c r="I129" s="490"/>
    </row>
    <row r="130" spans="1:9">
      <c r="I130" s="490"/>
    </row>
    <row r="131" spans="1:9" ht="14.4">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4">
      <c r="A137" s="484"/>
      <c r="B137" s="485" t="s">
        <v>307</v>
      </c>
      <c r="D137" s="1301" t="s">
        <v>1106</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307</v>
      </c>
      <c r="D151" s="1301" t="s">
        <v>1178</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2073</v>
      </c>
      <c r="E169" s="1320"/>
      <c r="F169" s="1320"/>
      <c r="G169" s="507"/>
      <c r="I169" s="490"/>
    </row>
    <row r="170" spans="1:9" ht="13.65" customHeight="1">
      <c r="D170" s="1318"/>
      <c r="E170" s="1318"/>
      <c r="F170" s="1318"/>
      <c r="G170" s="1318"/>
      <c r="I170" s="490"/>
    </row>
    <row r="171" spans="1:9" ht="14.4" customHeight="1">
      <c r="A171" s="489"/>
      <c r="B171" s="485" t="s">
        <v>307</v>
      </c>
      <c r="C171" s="476"/>
      <c r="D171" s="1272" t="s">
        <v>2213</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307</v>
      </c>
      <c r="C177" s="476"/>
      <c r="D177" s="1272" t="s">
        <v>1107</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307</v>
      </c>
      <c r="D182" s="1313" t="s">
        <v>2051</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4">
      <c r="A210" s="484"/>
      <c r="B210" s="484"/>
      <c r="D210" s="1288" t="s">
        <v>1902</v>
      </c>
      <c r="E210" s="1288"/>
      <c r="F210" s="1288"/>
      <c r="I210" s="490"/>
    </row>
    <row r="211" spans="1:9">
      <c r="D211" s="385"/>
      <c r="E211" s="1325" t="s">
        <v>1928</v>
      </c>
      <c r="F211" s="1325"/>
      <c r="I211" s="490"/>
    </row>
    <row r="212" spans="1:9">
      <c r="D212" s="447"/>
      <c r="I212" s="490"/>
    </row>
    <row r="213" spans="1:9">
      <c r="B213" s="485" t="s">
        <v>307</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4">
      <c r="A217" s="484"/>
      <c r="B217" s="485" t="s">
        <v>307</v>
      </c>
      <c r="D217" s="1301" t="s">
        <v>1217</v>
      </c>
      <c r="E217" s="1301"/>
      <c r="F217" s="1301"/>
      <c r="I217" s="490"/>
    </row>
    <row r="218" spans="1:9" ht="14.4" customHeight="1">
      <c r="A218" s="484"/>
      <c r="B218" s="402"/>
      <c r="D218" s="1301"/>
      <c r="E218" s="1301"/>
      <c r="F218" s="1301"/>
      <c r="I218" s="490"/>
    </row>
    <row r="219" spans="1:9" ht="14.4">
      <c r="A219" s="484"/>
      <c r="D219" s="1301"/>
      <c r="E219" s="1301"/>
      <c r="F219" s="1301"/>
      <c r="I219" s="490"/>
    </row>
    <row r="220" spans="1:9" ht="14.4">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65" customHeight="1">
      <c r="A227" s="490"/>
      <c r="C227" s="490"/>
      <c r="D227" s="1309" t="s">
        <v>547</v>
      </c>
      <c r="E227" s="1309"/>
      <c r="F227" s="1309"/>
      <c r="I227" s="490"/>
    </row>
    <row r="228" spans="1:9" ht="14.4">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4">
      <c r="A231" s="484"/>
      <c r="B231" s="484"/>
      <c r="D231" s="1301"/>
      <c r="E231" s="1301"/>
      <c r="F231" s="1301"/>
      <c r="I231" s="490"/>
    </row>
    <row r="232" spans="1:9" ht="14.4">
      <c r="A232" s="484"/>
      <c r="B232" s="484"/>
      <c r="D232" s="445"/>
      <c r="E232" s="445"/>
      <c r="F232" s="445"/>
      <c r="I232" s="490"/>
    </row>
    <row r="233" spans="1:9" ht="14.4">
      <c r="A233" s="484"/>
      <c r="B233" s="485" t="s">
        <v>307</v>
      </c>
      <c r="D233" s="1301" t="s">
        <v>1755</v>
      </c>
      <c r="E233" s="1301"/>
      <c r="F233" s="1301"/>
      <c r="I233" s="490"/>
    </row>
    <row r="234" spans="1:9" ht="14.4">
      <c r="A234" s="484"/>
      <c r="B234" s="484"/>
      <c r="D234" s="1301"/>
      <c r="E234" s="1301"/>
      <c r="F234" s="1301"/>
      <c r="I234" s="490"/>
    </row>
    <row r="235" spans="1:9" ht="14.4">
      <c r="A235" s="484"/>
      <c r="B235" s="484"/>
      <c r="D235" s="1301"/>
      <c r="E235" s="1301"/>
      <c r="F235" s="1301"/>
      <c r="I235" s="490"/>
    </row>
    <row r="236" spans="1:9" ht="14.4">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4">
      <c r="A239" s="484"/>
      <c r="B239" s="484"/>
      <c r="D239" s="1301" t="s">
        <v>1119</v>
      </c>
      <c r="E239" s="1301"/>
      <c r="F239" s="1301"/>
      <c r="I239" s="490"/>
    </row>
    <row r="240" spans="1:9" ht="14.4">
      <c r="A240" s="484"/>
      <c r="B240" s="484"/>
      <c r="D240" s="1301"/>
      <c r="E240" s="1301"/>
      <c r="F240" s="1301"/>
      <c r="I240" s="490"/>
    </row>
    <row r="241" spans="1:9" ht="14.4">
      <c r="A241" s="484"/>
      <c r="B241" s="484"/>
      <c r="D241" s="1301"/>
      <c r="E241" s="1301"/>
      <c r="F241" s="1301"/>
      <c r="I241" s="490"/>
    </row>
    <row r="242" spans="1:9" ht="14.4">
      <c r="A242" s="484"/>
      <c r="B242" s="484"/>
      <c r="D242" s="1301"/>
      <c r="E242" s="1301"/>
      <c r="F242" s="1301"/>
      <c r="I242" s="490"/>
    </row>
    <row r="243" spans="1:9" ht="14.4">
      <c r="A243" s="484"/>
      <c r="B243" s="484"/>
      <c r="D243" s="1301"/>
      <c r="E243" s="1301"/>
      <c r="F243" s="1301"/>
      <c r="I243" s="490"/>
    </row>
    <row r="244" spans="1:9" ht="14.4">
      <c r="A244" s="484"/>
      <c r="B244" s="484"/>
      <c r="D244" s="446"/>
      <c r="E244" s="446"/>
      <c r="F244" s="446"/>
      <c r="I244" s="490"/>
    </row>
    <row r="245" spans="1:9" ht="14.4">
      <c r="A245" s="484"/>
      <c r="B245" s="485" t="s">
        <v>307</v>
      </c>
      <c r="D245" s="1301" t="s">
        <v>2053</v>
      </c>
      <c r="E245" s="1301"/>
      <c r="F245" s="1301"/>
      <c r="I245" s="490"/>
    </row>
    <row r="246" spans="1:9" ht="14.4">
      <c r="A246" s="484"/>
      <c r="B246" s="484"/>
      <c r="D246" s="1301"/>
      <c r="E246" s="1301"/>
      <c r="F246" s="1301"/>
      <c r="I246" s="490"/>
    </row>
    <row r="247" spans="1:9" ht="14.4">
      <c r="A247" s="484"/>
      <c r="B247" s="484"/>
      <c r="D247" s="1301"/>
      <c r="E247" s="1301"/>
      <c r="F247" s="1301"/>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307</v>
      </c>
      <c r="D250" s="1301" t="s">
        <v>2054</v>
      </c>
      <c r="E250" s="1301"/>
      <c r="F250" s="1301"/>
      <c r="I250" s="490"/>
    </row>
    <row r="251" spans="1:9" ht="14.4">
      <c r="A251" s="484"/>
      <c r="B251" s="484"/>
      <c r="D251" s="1301"/>
      <c r="E251" s="1301"/>
      <c r="F251" s="1301"/>
      <c r="I251" s="490"/>
    </row>
    <row r="252" spans="1:9" ht="14.4">
      <c r="A252" s="484"/>
      <c r="B252" s="484"/>
      <c r="D252" s="1301"/>
      <c r="E252" s="1301"/>
      <c r="F252" s="1301"/>
      <c r="I252" s="490"/>
    </row>
    <row r="253" spans="1:9" ht="14.4">
      <c r="A253" s="484"/>
      <c r="B253" s="484"/>
      <c r="D253" s="1301"/>
      <c r="E253" s="1301"/>
      <c r="F253" s="1301"/>
      <c r="I253" s="490"/>
    </row>
    <row r="254" spans="1:9" ht="14.4">
      <c r="A254" s="484"/>
      <c r="B254" s="484"/>
      <c r="D254" s="1301"/>
      <c r="E254" s="1301"/>
      <c r="F254" s="1301"/>
      <c r="I254" s="490"/>
    </row>
    <row r="255" spans="1:9" ht="14.4">
      <c r="A255" s="484"/>
      <c r="B255" s="484"/>
      <c r="D255" s="445"/>
      <c r="E255" s="445"/>
      <c r="F255" s="445"/>
      <c r="I255" s="490"/>
    </row>
    <row r="256" spans="1:9" ht="14.4">
      <c r="A256" s="484"/>
      <c r="B256" s="485" t="s">
        <v>307</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307</v>
      </c>
      <c r="D259" s="1301" t="s">
        <v>1120</v>
      </c>
      <c r="E259" s="1301"/>
      <c r="F259" s="1301"/>
      <c r="I259" s="490"/>
    </row>
    <row r="260" spans="1:9" ht="14.4">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 customHeight="1">
      <c r="A267" s="484"/>
      <c r="B267" s="485" t="s">
        <v>307</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 customHeight="1">
      <c r="A271" s="484"/>
      <c r="B271" s="485" t="s">
        <v>307</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4">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4">
      <c r="A290" s="484"/>
      <c r="B290" s="485" t="s">
        <v>307</v>
      </c>
      <c r="D290" s="1301" t="s">
        <v>1126</v>
      </c>
      <c r="E290" s="1301"/>
      <c r="F290" s="1301"/>
      <c r="I290" s="490"/>
    </row>
    <row r="291" spans="1:9" ht="14.4">
      <c r="A291" s="484"/>
      <c r="B291" s="484"/>
      <c r="D291" s="1301"/>
      <c r="E291" s="1301"/>
      <c r="F291" s="1301"/>
      <c r="I291" s="490"/>
    </row>
    <row r="292" spans="1:9">
      <c r="D292" s="446"/>
      <c r="E292" s="446"/>
      <c r="F292" s="446"/>
      <c r="I292" s="490"/>
    </row>
    <row r="293" spans="1:9" ht="14.4">
      <c r="A293" s="484"/>
      <c r="B293" s="485" t="s">
        <v>307</v>
      </c>
      <c r="D293" s="1301" t="s">
        <v>1127</v>
      </c>
      <c r="E293" s="1301"/>
      <c r="F293" s="1301"/>
      <c r="I293" s="490"/>
    </row>
    <row r="294" spans="1:9" ht="14.4">
      <c r="A294" s="484"/>
      <c r="B294" s="484"/>
      <c r="D294" s="1301"/>
      <c r="E294" s="1301"/>
      <c r="F294" s="1301"/>
      <c r="I294" s="490"/>
    </row>
    <row r="295" spans="1:9" ht="14.4">
      <c r="A295" s="484"/>
      <c r="B295" s="484"/>
      <c r="D295" s="1301"/>
      <c r="E295" s="1301"/>
      <c r="F295" s="1301"/>
      <c r="I295" s="490"/>
    </row>
    <row r="296" spans="1:9">
      <c r="D296" s="446"/>
      <c r="E296" s="446"/>
      <c r="F296" s="446"/>
      <c r="I296" s="490"/>
    </row>
    <row r="297" spans="1:9" ht="14.4">
      <c r="A297" s="484"/>
      <c r="B297" s="485" t="s">
        <v>307</v>
      </c>
      <c r="D297" s="1301" t="s">
        <v>1128</v>
      </c>
      <c r="E297" s="1301"/>
      <c r="F297" s="1301"/>
      <c r="I297" s="490"/>
    </row>
    <row r="298" spans="1:9" ht="14.4">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4">
      <c r="A306" s="484"/>
      <c r="B306" s="484"/>
      <c r="D306" s="494"/>
      <c r="E306" s="495"/>
      <c r="F306" s="495"/>
      <c r="I306" s="490"/>
    </row>
    <row r="307" spans="1:9" ht="13.65" customHeight="1">
      <c r="B307" s="485" t="s">
        <v>307</v>
      </c>
      <c r="D307" s="1310" t="s">
        <v>1220</v>
      </c>
      <c r="E307" s="1310"/>
      <c r="F307" s="1310"/>
      <c r="I307" s="490"/>
    </row>
    <row r="308" spans="1:9" ht="14.4">
      <c r="A308" s="484"/>
      <c r="B308" s="484"/>
      <c r="D308" s="1310"/>
      <c r="E308" s="1310"/>
      <c r="F308" s="1310"/>
      <c r="I308" s="490"/>
    </row>
    <row r="309" spans="1:9" ht="14.4">
      <c r="A309" s="484"/>
      <c r="B309" s="484"/>
      <c r="D309" s="1310"/>
      <c r="E309" s="1310"/>
      <c r="F309" s="1310"/>
      <c r="I309" s="490"/>
    </row>
    <row r="310" spans="1:9" ht="14.4">
      <c r="A310" s="484"/>
      <c r="B310" s="484"/>
      <c r="D310" s="1310"/>
      <c r="E310" s="1310"/>
      <c r="F310" s="1310"/>
      <c r="I310" s="490"/>
    </row>
    <row r="311" spans="1:9" ht="14.4">
      <c r="A311" s="484"/>
      <c r="B311" s="484"/>
      <c r="D311" s="1310"/>
      <c r="E311" s="1310"/>
      <c r="F311" s="1310"/>
      <c r="I311" s="490"/>
    </row>
    <row r="312" spans="1:9" ht="14.4">
      <c r="A312" s="484"/>
      <c r="B312" s="484"/>
      <c r="D312" s="494"/>
      <c r="E312" s="495"/>
      <c r="F312" s="495"/>
      <c r="I312" s="490"/>
    </row>
    <row r="313" spans="1:9" ht="13.65" customHeight="1">
      <c r="B313" s="485" t="s">
        <v>307</v>
      </c>
      <c r="D313" s="1310" t="s">
        <v>1131</v>
      </c>
      <c r="E313" s="1310"/>
      <c r="F313" s="1310"/>
      <c r="I313" s="490"/>
    </row>
    <row r="314" spans="1:9">
      <c r="D314" s="1310"/>
      <c r="E314" s="1310"/>
      <c r="F314" s="1310"/>
      <c r="I314" s="490"/>
    </row>
    <row r="315" spans="1:9" ht="14.4">
      <c r="A315" s="484"/>
      <c r="B315" s="484"/>
      <c r="D315" s="494"/>
      <c r="E315" s="495"/>
      <c r="F315" s="495"/>
      <c r="I315" s="490"/>
    </row>
    <row r="316" spans="1:9">
      <c r="B316" s="485" t="s">
        <v>307</v>
      </c>
      <c r="D316" s="1299" t="s">
        <v>1132</v>
      </c>
      <c r="E316" s="1299"/>
      <c r="F316" s="1299"/>
      <c r="I316" s="490"/>
    </row>
    <row r="317" spans="1:9">
      <c r="E317" s="446"/>
      <c r="F317" s="446"/>
      <c r="I317" s="490"/>
    </row>
    <row r="318" spans="1:9" ht="14.4">
      <c r="A318" s="484"/>
      <c r="B318" s="485" t="s">
        <v>307</v>
      </c>
      <c r="D318" s="1301" t="s">
        <v>2245</v>
      </c>
      <c r="E318" s="1301"/>
      <c r="F318" s="1301"/>
      <c r="I318" s="490"/>
    </row>
    <row r="319" spans="1:9" ht="14.4">
      <c r="A319" s="484"/>
      <c r="B319" s="484"/>
      <c r="D319" s="1301"/>
      <c r="E319" s="1301"/>
      <c r="F319" s="1301"/>
      <c r="I319" s="490"/>
    </row>
    <row r="320" spans="1:9" ht="14.4">
      <c r="A320" s="484"/>
      <c r="B320" s="484"/>
      <c r="D320" s="1301"/>
      <c r="E320" s="1301"/>
      <c r="F320" s="1301"/>
      <c r="I320" s="490"/>
    </row>
    <row r="321" spans="1:9" ht="14.4">
      <c r="A321" s="484"/>
      <c r="B321" s="484"/>
      <c r="D321" s="1301"/>
      <c r="E321" s="1301"/>
      <c r="F321" s="1301"/>
      <c r="I321" s="490"/>
    </row>
    <row r="322" spans="1:9" ht="14.4">
      <c r="A322" s="484"/>
      <c r="B322" s="484"/>
      <c r="D322" s="1301"/>
      <c r="E322" s="1301"/>
      <c r="F322" s="1301"/>
      <c r="I322" s="490"/>
    </row>
    <row r="323" spans="1:9" ht="14.4">
      <c r="A323" s="484"/>
      <c r="B323" s="484"/>
      <c r="D323" s="1301"/>
      <c r="E323" s="1301"/>
      <c r="F323" s="1301"/>
      <c r="I323" s="490"/>
    </row>
    <row r="324" spans="1:9" ht="14.4">
      <c r="A324" s="484"/>
      <c r="B324" s="484"/>
      <c r="D324" s="1301"/>
      <c r="E324" s="1301"/>
      <c r="F324" s="1301"/>
      <c r="I324" s="490"/>
    </row>
    <row r="325" spans="1:9" ht="14.4">
      <c r="A325" s="484"/>
      <c r="B325" s="484"/>
      <c r="D325" s="1301"/>
      <c r="E325" s="1301"/>
      <c r="F325" s="1301"/>
      <c r="I325" s="490"/>
    </row>
    <row r="326" spans="1:9" ht="14.4">
      <c r="A326" s="484"/>
      <c r="B326" s="484"/>
      <c r="D326" s="1301"/>
      <c r="E326" s="1301"/>
      <c r="F326" s="1301"/>
      <c r="I326" s="490"/>
    </row>
    <row r="327" spans="1:9" ht="14.4">
      <c r="A327" s="484"/>
      <c r="B327" s="484"/>
      <c r="D327" s="1301"/>
      <c r="E327" s="1301"/>
      <c r="F327" s="1301"/>
      <c r="I327" s="490"/>
    </row>
    <row r="328" spans="1:9" ht="14.4">
      <c r="A328" s="484"/>
      <c r="B328" s="484"/>
      <c r="D328" s="1301"/>
      <c r="E328" s="1301"/>
      <c r="F328" s="1301"/>
      <c r="I328" s="490"/>
    </row>
    <row r="329" spans="1:9" ht="14.4">
      <c r="A329" s="484"/>
      <c r="B329" s="484"/>
      <c r="D329" s="1301"/>
      <c r="E329" s="1301"/>
      <c r="F329" s="1301"/>
      <c r="I329" s="490"/>
    </row>
    <row r="330" spans="1:9" ht="14.4">
      <c r="A330" s="484"/>
      <c r="B330" s="484"/>
      <c r="D330" s="1301"/>
      <c r="E330" s="1301"/>
      <c r="F330" s="1301"/>
      <c r="I330" s="490"/>
    </row>
    <row r="331" spans="1:9" ht="14.4">
      <c r="A331" s="484"/>
      <c r="B331" s="484"/>
      <c r="D331" s="1301"/>
      <c r="E331" s="1301"/>
      <c r="F331" s="1301"/>
      <c r="I331" s="490"/>
    </row>
    <row r="332" spans="1:9" ht="14.4">
      <c r="A332" s="484"/>
      <c r="B332" s="484"/>
      <c r="D332" s="1301"/>
      <c r="E332" s="1301"/>
      <c r="F332" s="1301"/>
      <c r="I332" s="490"/>
    </row>
    <row r="333" spans="1:9">
      <c r="D333" s="446"/>
      <c r="E333" s="446"/>
      <c r="F333" s="446"/>
      <c r="I333" s="490"/>
    </row>
    <row r="334" spans="1:9" ht="14.4">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329" t="s">
        <v>980</v>
      </c>
      <c r="E351" s="1329"/>
      <c r="F351" s="1329"/>
      <c r="G351" s="1027"/>
      <c r="H351" s="1027"/>
      <c r="I351" s="1156"/>
    </row>
    <row r="352" spans="1:9" ht="13.8"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4">
      <c r="A355" s="484"/>
      <c r="B355" s="485" t="s">
        <v>307</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4">
      <c r="A360" s="484"/>
      <c r="B360" s="485" t="s">
        <v>307</v>
      </c>
      <c r="C360" s="476"/>
      <c r="D360" s="1318" t="s">
        <v>2057</v>
      </c>
      <c r="E360" s="1318"/>
      <c r="F360" s="1318"/>
      <c r="I360" s="480"/>
    </row>
    <row r="361" spans="1:9">
      <c r="A361" s="476"/>
      <c r="B361" s="476"/>
      <c r="C361" s="476"/>
      <c r="D361" s="447"/>
      <c r="E361" s="447"/>
      <c r="F361" s="446"/>
      <c r="I361" s="490"/>
    </row>
    <row r="362" spans="1:9">
      <c r="A362" s="476"/>
      <c r="B362" s="485" t="s">
        <v>307</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5"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4">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307</v>
      </c>
      <c r="D423" s="1272" t="s">
        <v>1882</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307</v>
      </c>
      <c r="C429" s="476"/>
      <c r="D429" s="1272" t="s">
        <v>1241</v>
      </c>
      <c r="E429" s="1272"/>
      <c r="F429" s="1272"/>
      <c r="I429" s="490"/>
    </row>
    <row r="430" spans="1:9" ht="14.4">
      <c r="A430" s="497"/>
      <c r="B430" s="497"/>
      <c r="C430" s="476"/>
      <c r="D430" s="1272"/>
      <c r="E430" s="1272"/>
      <c r="F430" s="1272"/>
      <c r="I430" s="490"/>
    </row>
    <row r="431" spans="1:9" ht="14.4">
      <c r="A431" s="497"/>
      <c r="B431" s="497"/>
      <c r="C431" s="476"/>
      <c r="D431" s="1272"/>
      <c r="E431" s="1272"/>
      <c r="F431" s="1272"/>
      <c r="I431" s="490"/>
    </row>
    <row r="432" spans="1:9" ht="14.4">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4">
      <c r="A435" s="484"/>
      <c r="B435" s="485" t="s">
        <v>307</v>
      </c>
      <c r="C435" s="487"/>
      <c r="D435" s="1301" t="s">
        <v>2059</v>
      </c>
      <c r="E435" s="1301"/>
      <c r="F435" s="1301"/>
      <c r="I435" s="490"/>
    </row>
    <row r="436" spans="1:9" ht="14.4">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ht="14.4">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4">
      <c r="B471" s="485" t="s">
        <v>307</v>
      </c>
      <c r="C471" s="484"/>
      <c r="D471" s="1301" t="s">
        <v>1198</v>
      </c>
      <c r="E471" s="1301"/>
      <c r="F471" s="1301"/>
      <c r="I471" s="490"/>
    </row>
    <row r="472" spans="1:9">
      <c r="D472" s="1301"/>
      <c r="E472" s="1301"/>
      <c r="F472" s="1301"/>
      <c r="I472" s="490"/>
    </row>
    <row r="473" spans="1:9">
      <c r="D473" s="446"/>
      <c r="E473" s="446"/>
      <c r="F473" s="446"/>
      <c r="I473" s="490"/>
    </row>
    <row r="474" spans="1:9" ht="14.4">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4">
      <c r="A499" s="484"/>
      <c r="B499" s="484"/>
      <c r="D499" s="1318" t="s">
        <v>1142</v>
      </c>
      <c r="E499" s="1318"/>
      <c r="F499" s="1318"/>
      <c r="I499" s="490"/>
    </row>
    <row r="500" spans="1:9" ht="14.4">
      <c r="A500" s="484"/>
      <c r="B500" s="484"/>
      <c r="D500" s="447"/>
      <c r="I500" s="490"/>
    </row>
    <row r="501" spans="1:9" ht="14.4">
      <c r="A501" s="484"/>
      <c r="B501" s="485" t="s">
        <v>307</v>
      </c>
      <c r="D501" s="1272" t="s">
        <v>1143</v>
      </c>
      <c r="E501" s="1272"/>
      <c r="F501" s="1272"/>
      <c r="I501" s="490"/>
    </row>
    <row r="502" spans="1:9" ht="14.4">
      <c r="A502" s="484"/>
      <c r="B502" s="484"/>
      <c r="D502" s="1272"/>
      <c r="E502" s="1272"/>
      <c r="F502" s="1272"/>
      <c r="I502" s="490"/>
    </row>
    <row r="503" spans="1:9" ht="14.4">
      <c r="A503" s="484"/>
      <c r="B503" s="484"/>
      <c r="D503" s="446"/>
      <c r="I503" s="490"/>
    </row>
    <row r="504" spans="1:9" ht="12.75" customHeight="1">
      <c r="B504" s="485" t="s">
        <v>307</v>
      </c>
      <c r="D504" s="1313" t="s">
        <v>1274</v>
      </c>
      <c r="E504" s="1313"/>
      <c r="F504" s="1313"/>
      <c r="I504" s="490"/>
    </row>
    <row r="505" spans="1:9" ht="14.4">
      <c r="A505" s="484"/>
      <c r="D505" s="1313"/>
      <c r="E505" s="1313"/>
      <c r="F505" s="1313"/>
      <c r="I505" s="490"/>
    </row>
    <row r="506" spans="1:9" ht="14.4">
      <c r="A506" s="484"/>
      <c r="B506" s="484"/>
      <c r="D506" s="1313"/>
      <c r="E506" s="1313"/>
      <c r="F506" s="1313"/>
      <c r="I506" s="490"/>
    </row>
    <row r="507" spans="1:9" ht="14.4">
      <c r="A507" s="484"/>
      <c r="B507" s="484"/>
      <c r="D507" s="1313"/>
      <c r="E507" s="1313"/>
      <c r="F507" s="1313"/>
      <c r="I507" s="490"/>
    </row>
    <row r="508" spans="1:9" ht="14.4">
      <c r="A508" s="484"/>
      <c r="D508" s="520"/>
      <c r="E508" s="520"/>
      <c r="F508" s="520"/>
      <c r="I508" s="490"/>
    </row>
    <row r="509" spans="1:9" ht="14.4">
      <c r="A509" s="484"/>
      <c r="B509" s="485" t="s">
        <v>307</v>
      </c>
      <c r="D509" s="1299" t="s">
        <v>1144</v>
      </c>
      <c r="E509" s="1299"/>
      <c r="F509" s="1299"/>
      <c r="I509" s="490"/>
    </row>
    <row r="510" spans="1:9" ht="14.4">
      <c r="A510" s="484"/>
      <c r="B510" s="484"/>
      <c r="D510" s="446"/>
      <c r="I510" s="490"/>
    </row>
    <row r="511" spans="1:9" ht="14.4">
      <c r="A511" s="484"/>
      <c r="B511" s="485" t="s">
        <v>307</v>
      </c>
      <c r="D511" s="1301" t="s">
        <v>1145</v>
      </c>
      <c r="E511" s="1301"/>
      <c r="F511" s="1301"/>
      <c r="I511" s="490"/>
    </row>
    <row r="512" spans="1:9" ht="14.4">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4">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65" customHeight="1">
      <c r="A527" s="483"/>
      <c r="B527" s="485" t="s">
        <v>307</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307</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65" customHeight="1">
      <c r="A548" s="484"/>
      <c r="B548" s="485" t="s">
        <v>307</v>
      </c>
      <c r="C548" s="487"/>
      <c r="D548" s="1299" t="s">
        <v>885</v>
      </c>
      <c r="E548" s="1299"/>
      <c r="F548" s="1299"/>
      <c r="I548" s="490"/>
    </row>
    <row r="549" spans="1:9" ht="13.65" customHeight="1">
      <c r="A549" s="487"/>
      <c r="B549" s="487"/>
      <c r="C549" s="487"/>
      <c r="D549" s="446"/>
      <c r="I549" s="490"/>
    </row>
    <row r="550" spans="1:9" ht="14.4">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4">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4">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4">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4">
      <c r="A563" s="484"/>
      <c r="B563" s="485" t="s">
        <v>307</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4">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4">
      <c r="A569" s="484"/>
      <c r="B569" s="485" t="s">
        <v>307</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4">
      <c r="A578" s="484"/>
      <c r="B578" s="485" t="s">
        <v>307</v>
      </c>
      <c r="C578" s="487"/>
      <c r="D578" s="1301" t="s">
        <v>2063</v>
      </c>
      <c r="E578" s="1301"/>
      <c r="F578" s="1301"/>
      <c r="I578" s="490"/>
    </row>
    <row r="579" spans="1:9" ht="14.4">
      <c r="A579" s="484"/>
      <c r="B579" s="484"/>
      <c r="C579" s="487"/>
      <c r="D579" s="1301"/>
      <c r="E579" s="1301"/>
      <c r="F579" s="1301"/>
      <c r="I579" s="490"/>
    </row>
    <row r="580" spans="1:9" ht="14.4">
      <c r="A580" s="484"/>
      <c r="B580" s="484"/>
      <c r="C580" s="487"/>
      <c r="D580" s="1301"/>
      <c r="E580" s="1301"/>
      <c r="F580" s="1301"/>
      <c r="I580" s="490"/>
    </row>
    <row r="581" spans="1:9" ht="14.4">
      <c r="A581" s="484"/>
      <c r="B581" s="484"/>
      <c r="C581" s="487"/>
      <c r="D581" s="1301"/>
      <c r="E581" s="1301"/>
      <c r="F581" s="1301"/>
      <c r="I581" s="490"/>
    </row>
    <row r="582" spans="1:9" ht="14.4">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4">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4">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4">
      <c r="A643" s="484"/>
      <c r="B643" s="485" t="s">
        <v>307</v>
      </c>
      <c r="C643" s="487"/>
      <c r="D643" s="1301" t="s">
        <v>1226</v>
      </c>
      <c r="E643" s="1301"/>
      <c r="F643" s="1301"/>
      <c r="I643" s="490"/>
    </row>
    <row r="644" spans="1:9" ht="14.4">
      <c r="A644" s="484"/>
      <c r="B644" s="484"/>
      <c r="C644" s="487"/>
      <c r="D644" s="1301"/>
      <c r="E644" s="1301"/>
      <c r="F644" s="1301"/>
      <c r="I644" s="490"/>
    </row>
    <row r="645" spans="1:9" ht="14.4">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4">
      <c r="A659" s="483"/>
      <c r="B659" s="484"/>
      <c r="C659" s="487"/>
      <c r="D659" s="1301"/>
      <c r="E659" s="1301"/>
      <c r="F659" s="1301"/>
      <c r="I659" s="490"/>
    </row>
    <row r="660" spans="1:9" ht="14.4">
      <c r="A660" s="483"/>
      <c r="B660" s="484"/>
      <c r="C660" s="487"/>
      <c r="D660" s="1301"/>
      <c r="E660" s="1301"/>
      <c r="F660" s="1301"/>
      <c r="I660" s="490"/>
    </row>
    <row r="661" spans="1:9" ht="14.4">
      <c r="A661" s="483"/>
      <c r="B661" s="484"/>
      <c r="C661" s="487"/>
      <c r="D661" s="1301"/>
      <c r="E661" s="1301"/>
      <c r="F661" s="1301"/>
      <c r="I661" s="490"/>
    </row>
    <row r="662" spans="1:9" ht="14.4">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4">
      <c r="A665" s="483"/>
      <c r="B665" s="484"/>
      <c r="C665" s="487"/>
      <c r="D665" s="1301"/>
      <c r="E665" s="1301"/>
      <c r="F665" s="1301"/>
      <c r="I665" s="490"/>
    </row>
    <row r="666" spans="1:9" ht="14.4">
      <c r="A666" s="484"/>
      <c r="B666" s="484"/>
      <c r="C666" s="487"/>
      <c r="D666" s="1301"/>
      <c r="E666" s="1301"/>
      <c r="F666" s="1301"/>
      <c r="I666" s="490"/>
    </row>
    <row r="667" spans="1:9" ht="14.4">
      <c r="A667" s="484"/>
      <c r="B667" s="484"/>
      <c r="C667" s="487"/>
      <c r="D667" s="1301"/>
      <c r="E667" s="1301"/>
      <c r="F667" s="1301"/>
      <c r="I667" s="490"/>
    </row>
    <row r="668" spans="1:9" ht="14.4">
      <c r="A668" s="484"/>
      <c r="B668" s="484"/>
      <c r="C668" s="487"/>
      <c r="D668" s="445"/>
      <c r="E668" s="445"/>
      <c r="F668" s="445"/>
      <c r="I668" s="490"/>
    </row>
    <row r="669" spans="1:9" ht="12.75" customHeight="1">
      <c r="A669" s="483"/>
      <c r="B669" s="485" t="s">
        <v>307</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4">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307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4">
      <c r="A694" s="484"/>
      <c r="B694" s="485" t="s">
        <v>307</v>
      </c>
      <c r="C694" s="483"/>
      <c r="D694" s="1299" t="s">
        <v>918</v>
      </c>
      <c r="E694" s="1299"/>
      <c r="F694" s="1299"/>
      <c r="H694" s="501"/>
      <c r="I694" s="483"/>
      <c r="J694" s="501"/>
      <c r="K694" s="501"/>
    </row>
    <row r="695" spans="1:11" ht="14.4">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307</v>
      </c>
      <c r="C698" s="483"/>
      <c r="D698" s="1299" t="s">
        <v>2469</v>
      </c>
      <c r="E698" s="1299"/>
      <c r="F698" s="1299"/>
      <c r="H698" s="501"/>
      <c r="I698" s="483"/>
      <c r="J698" s="501"/>
      <c r="K698" s="501"/>
    </row>
    <row r="699" spans="1:11" ht="14.4">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307</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4">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4">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4">
      <c r="A744" s="484"/>
      <c r="B744" s="485" t="s">
        <v>307</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4">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4">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4">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4">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4">
      <c r="A794" s="175"/>
      <c r="B794" s="485" t="s">
        <v>307</v>
      </c>
      <c r="C794" s="989"/>
      <c r="D794" s="1294" t="s">
        <v>1759</v>
      </c>
      <c r="E794" s="1294"/>
      <c r="F794" s="1294"/>
      <c r="G794" s="988"/>
      <c r="I794" s="483"/>
    </row>
    <row r="795" spans="1:9" ht="14.4">
      <c r="A795" s="175"/>
      <c r="B795" s="175"/>
      <c r="C795" s="989"/>
      <c r="D795" s="1294"/>
      <c r="E795" s="1294"/>
      <c r="F795" s="1294"/>
      <c r="G795" s="988"/>
      <c r="I795" s="490"/>
    </row>
    <row r="796" spans="1:9" ht="14.4">
      <c r="A796" s="175"/>
      <c r="B796" s="175"/>
      <c r="C796" s="989"/>
      <c r="D796" s="1294"/>
      <c r="E796" s="1294"/>
      <c r="F796" s="1294"/>
      <c r="G796" s="988"/>
      <c r="I796" s="490"/>
    </row>
    <row r="797" spans="1:9" ht="14.4">
      <c r="A797" s="175"/>
      <c r="B797" s="175"/>
      <c r="C797" s="989"/>
      <c r="D797" s="118"/>
      <c r="E797" s="3"/>
      <c r="F797" s="3"/>
      <c r="G797" s="988"/>
      <c r="I797" s="490"/>
    </row>
    <row r="798" spans="1:9" ht="14.4">
      <c r="A798" s="175"/>
      <c r="B798" s="485" t="s">
        <v>307</v>
      </c>
      <c r="C798" s="989"/>
      <c r="D798" s="1294" t="s">
        <v>1760</v>
      </c>
      <c r="E798" s="1294"/>
      <c r="F798" s="1294"/>
      <c r="G798" s="988"/>
      <c r="I798" s="483"/>
    </row>
    <row r="799" spans="1:9" ht="14.4">
      <c r="A799" s="175"/>
      <c r="B799" s="175"/>
      <c r="C799" s="989"/>
      <c r="D799" s="1294"/>
      <c r="E799" s="1294"/>
      <c r="F799" s="1294"/>
      <c r="G799" s="988"/>
      <c r="I799" s="490"/>
    </row>
    <row r="800" spans="1:9" ht="14.4">
      <c r="A800" s="175"/>
      <c r="B800" s="175"/>
      <c r="C800" s="989"/>
      <c r="D800" s="1294"/>
      <c r="E800" s="1294"/>
      <c r="F800" s="1294"/>
      <c r="G800" s="988"/>
      <c r="I800" s="490"/>
    </row>
    <row r="801" spans="1:9" ht="14.4">
      <c r="A801" s="175"/>
      <c r="B801" s="175"/>
      <c r="C801" s="989"/>
      <c r="D801" s="1294"/>
      <c r="E801" s="1294"/>
      <c r="F801" s="1294"/>
      <c r="G801" s="988"/>
      <c r="I801" s="490"/>
    </row>
    <row r="802" spans="1:9" ht="14.4">
      <c r="A802" s="175"/>
      <c r="B802" s="175"/>
      <c r="C802" s="989"/>
      <c r="D802" s="1294"/>
      <c r="E802" s="1294"/>
      <c r="F802" s="1294"/>
      <c r="G802" s="988"/>
      <c r="I802" s="490"/>
    </row>
    <row r="803" spans="1:9" ht="14.4">
      <c r="A803" s="175"/>
      <c r="B803" s="175"/>
      <c r="C803" s="989"/>
      <c r="D803" s="1294"/>
      <c r="E803" s="1294"/>
      <c r="F803" s="1294"/>
      <c r="G803" s="988"/>
      <c r="I803" s="490"/>
    </row>
    <row r="804" spans="1:9" ht="14.4">
      <c r="A804" s="175"/>
      <c r="B804" s="175"/>
      <c r="C804" s="989"/>
      <c r="D804" s="1294" t="s">
        <v>1803</v>
      </c>
      <c r="E804" s="1294"/>
      <c r="F804" s="1294"/>
      <c r="G804" s="988"/>
      <c r="I804" s="490"/>
    </row>
    <row r="805" spans="1:9" ht="14.4">
      <c r="A805" s="175"/>
      <c r="B805" s="175"/>
      <c r="C805" s="989"/>
      <c r="D805" s="1294"/>
      <c r="E805" s="1294"/>
      <c r="F805" s="1294"/>
      <c r="G805" s="988"/>
      <c r="I805" s="490"/>
    </row>
    <row r="806" spans="1:9" ht="14.4">
      <c r="A806" s="175"/>
      <c r="B806" s="175"/>
      <c r="C806" s="989"/>
      <c r="D806" s="1294"/>
      <c r="E806" s="1294"/>
      <c r="F806" s="1294"/>
      <c r="G806" s="988"/>
      <c r="I806" s="490"/>
    </row>
    <row r="807" spans="1:9" ht="14.4">
      <c r="A807" s="175"/>
      <c r="B807" s="354"/>
      <c r="C807" s="989"/>
      <c r="D807" s="990"/>
      <c r="E807" s="990"/>
      <c r="F807" s="990"/>
      <c r="G807" s="988"/>
      <c r="I807" s="490"/>
    </row>
    <row r="808" spans="1:9" ht="14.4">
      <c r="A808" s="175"/>
      <c r="B808" s="485" t="s">
        <v>307</v>
      </c>
      <c r="C808" s="989"/>
      <c r="D808" s="1294" t="s">
        <v>1761</v>
      </c>
      <c r="E808" s="1294"/>
      <c r="F808" s="1294"/>
      <c r="G808" s="988"/>
      <c r="I808" s="483"/>
    </row>
    <row r="809" spans="1:9" ht="14.4">
      <c r="A809" s="175"/>
      <c r="B809" s="175"/>
      <c r="C809" s="989"/>
      <c r="D809" s="1294"/>
      <c r="E809" s="1294"/>
      <c r="F809" s="1294"/>
      <c r="G809" s="988"/>
      <c r="I809" s="490"/>
    </row>
    <row r="810" spans="1:9" ht="14.4">
      <c r="A810" s="175"/>
      <c r="B810" s="175"/>
      <c r="C810" s="989"/>
      <c r="D810" s="1294"/>
      <c r="E810" s="1294"/>
      <c r="F810" s="1294"/>
      <c r="G810" s="988"/>
      <c r="I810" s="490"/>
    </row>
    <row r="811" spans="1:9" ht="14.4">
      <c r="A811" s="175"/>
      <c r="B811" s="175"/>
      <c r="C811" s="989"/>
      <c r="D811" s="1294"/>
      <c r="E811" s="1294"/>
      <c r="F811" s="1294"/>
      <c r="G811" s="988"/>
      <c r="I811" s="490"/>
    </row>
    <row r="812" spans="1:9" ht="14.4">
      <c r="A812" s="175"/>
      <c r="B812" s="175"/>
      <c r="C812" s="989"/>
      <c r="D812" s="1294"/>
      <c r="E812" s="1294"/>
      <c r="F812" s="1294"/>
      <c r="G812" s="988"/>
      <c r="I812" s="490"/>
    </row>
    <row r="813" spans="1:9" ht="14.4">
      <c r="A813" s="175"/>
      <c r="B813" s="175"/>
      <c r="C813" s="989"/>
      <c r="D813" s="1294"/>
      <c r="E813" s="1294"/>
      <c r="F813" s="1294"/>
      <c r="G813" s="988"/>
      <c r="I813" s="490"/>
    </row>
    <row r="814" spans="1:9" ht="14.4">
      <c r="A814" s="175"/>
      <c r="B814" s="175"/>
      <c r="C814" s="989"/>
      <c r="D814" s="982"/>
      <c r="E814" s="982"/>
      <c r="F814" s="982"/>
      <c r="G814" s="988"/>
      <c r="I814" s="490"/>
    </row>
    <row r="815" spans="1:9" ht="14.4">
      <c r="A815" s="175"/>
      <c r="B815" s="485" t="s">
        <v>307</v>
      </c>
      <c r="C815" s="989"/>
      <c r="D815" s="1294" t="s">
        <v>1762</v>
      </c>
      <c r="E815" s="1294"/>
      <c r="F815" s="1294"/>
      <c r="G815" s="988"/>
      <c r="I815" s="483"/>
    </row>
    <row r="816" spans="1:9" ht="14.4">
      <c r="A816" s="175"/>
      <c r="B816" s="175"/>
      <c r="C816" s="989"/>
      <c r="D816" s="1294"/>
      <c r="E816" s="1294"/>
      <c r="F816" s="1294"/>
      <c r="G816" s="988"/>
      <c r="I816" s="490"/>
    </row>
    <row r="817" spans="1:9" ht="14.4">
      <c r="A817" s="175"/>
      <c r="B817" s="175"/>
      <c r="C817" s="989"/>
      <c r="D817" s="1294"/>
      <c r="E817" s="1294"/>
      <c r="F817" s="1294"/>
      <c r="G817" s="988"/>
      <c r="I817" s="490"/>
    </row>
    <row r="818" spans="1:9" ht="14.4">
      <c r="A818" s="175"/>
      <c r="B818" s="175"/>
      <c r="C818" s="989"/>
      <c r="D818" s="1294"/>
      <c r="E818" s="1294"/>
      <c r="F818" s="1294"/>
      <c r="G818" s="988"/>
      <c r="I818" s="490"/>
    </row>
    <row r="819" spans="1:9" ht="14.4">
      <c r="A819" s="175"/>
      <c r="B819" s="175"/>
      <c r="C819" s="989"/>
      <c r="D819" s="1294"/>
      <c r="E819" s="1294"/>
      <c r="F819" s="1294"/>
      <c r="G819" s="988"/>
      <c r="I819" s="490"/>
    </row>
    <row r="820" spans="1:9" ht="14.4">
      <c r="A820" s="175"/>
      <c r="B820" s="175"/>
      <c r="C820" s="989"/>
      <c r="D820" s="1294"/>
      <c r="E820" s="1294"/>
      <c r="F820" s="1294"/>
      <c r="G820" s="988"/>
      <c r="I820" s="490"/>
    </row>
    <row r="821" spans="1:9" ht="14.4">
      <c r="A821" s="175"/>
      <c r="B821" s="175"/>
      <c r="C821" s="989"/>
      <c r="D821" s="982"/>
      <c r="E821" s="982"/>
      <c r="F821" s="982"/>
      <c r="G821" s="988"/>
      <c r="I821" s="490"/>
    </row>
    <row r="822" spans="1:9" ht="14.4">
      <c r="A822" s="175"/>
      <c r="B822" s="485" t="s">
        <v>307</v>
      </c>
      <c r="C822" s="989"/>
      <c r="D822" s="1289" t="s">
        <v>1763</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23" zoomScaleNormal="100" workbookViewId="0">
      <selection activeCell="E346" sqref="E346"/>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City of Los Angeles</v>
      </c>
    </row>
    <row r="4" spans="1:58" ht="12.9" customHeight="1">
      <c r="BD4" s="3" t="s">
        <v>2507</v>
      </c>
      <c r="BE4" s="1246"/>
    </row>
    <row r="5" spans="1:58" ht="12.9" customHeight="1">
      <c r="BD5" s="3" t="s">
        <v>2508</v>
      </c>
      <c r="BE5">
        <f>SUMIF($AC$718:$AC$752,"&lt;=20%",$G$718:G$752)</f>
        <v>0</v>
      </c>
      <c r="BF5" s="3" t="s">
        <v>2513</v>
      </c>
    </row>
    <row r="6" spans="1:58" ht="12.9" customHeight="1">
      <c r="BD6" s="3" t="s">
        <v>2509</v>
      </c>
      <c r="BE6" s="1249">
        <f>SUMIF($AC$718:$AC$752,"&lt;=25%",$G$718:G$752)-SUM($BE$5:BE5)</f>
        <v>0</v>
      </c>
    </row>
    <row r="7" spans="1:58" ht="12.9" customHeight="1">
      <c r="BD7" s="1247" t="s">
        <v>2501</v>
      </c>
      <c r="BE7" s="1249">
        <f>SUMIF($AC$718:$AC$752,"&lt;=30%",$G$718:G$752)-SUM($BE$5:BE6)</f>
        <v>13</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2.9"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2.9"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2.9"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37</v>
      </c>
    </row>
    <row r="12" spans="1:58" ht="12.9"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2.9"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42</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 customHeight="1">
      <c r="A16" s="57" t="s">
        <v>2079</v>
      </c>
      <c r="C16" s="4"/>
      <c r="D16" s="4"/>
      <c r="E16" s="4"/>
      <c r="F16" s="4"/>
      <c r="G16" s="4"/>
      <c r="H16" s="1420" t="s">
        <v>2633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Queen Apartments</v>
      </c>
    </row>
    <row r="17" spans="1:58" ht="12.9" customHeight="1">
      <c r="BD17" s="1247" t="s">
        <v>2519</v>
      </c>
      <c r="BE17" s="1249">
        <f>Application!AA934</f>
        <v>0</v>
      </c>
    </row>
    <row r="18" spans="1:58" ht="12.9" customHeight="1">
      <c r="A18" s="57" t="s">
        <v>101</v>
      </c>
      <c r="C18" s="4"/>
      <c r="D18" s="4"/>
      <c r="E18" s="4"/>
      <c r="F18" s="4"/>
      <c r="G18" s="4"/>
      <c r="H18" s="1417" t="s">
        <v>2614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2.9" customHeight="1">
      <c r="BD19" s="1247" t="s">
        <v>2521</v>
      </c>
      <c r="BE19" s="1249">
        <f>Application!M26</f>
        <v>1591536</v>
      </c>
    </row>
    <row r="20" spans="1:58" ht="12.9"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0</v>
      </c>
    </row>
    <row r="21" spans="1:58" ht="12.9"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10750000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41608812</v>
      </c>
      <c r="BF22" s="3" t="s">
        <v>2596</v>
      </c>
    </row>
    <row r="23" spans="1:58" ht="12.9"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2900000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38630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 customHeight="1">
      <c r="A26" s="4"/>
      <c r="C26" s="4"/>
      <c r="D26" s="4"/>
      <c r="E26" s="4"/>
      <c r="F26" s="4"/>
      <c r="G26" s="4"/>
      <c r="H26" s="4"/>
      <c r="I26" s="4"/>
      <c r="J26" s="4"/>
      <c r="K26" s="4"/>
      <c r="L26" s="4"/>
      <c r="M26" s="1419">
        <f>'Basis &amp; Credits'!AB56</f>
        <v>1591536</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 customHeight="1">
      <c r="A27" s="4"/>
      <c r="C27" s="4"/>
      <c r="D27" s="4"/>
      <c r="E27" s="4"/>
      <c r="F27" s="4"/>
      <c r="G27" s="4"/>
      <c r="H27" s="4"/>
      <c r="I27" s="4"/>
      <c r="J27" s="4"/>
      <c r="K27" s="4"/>
      <c r="L27" s="4"/>
      <c r="M27" s="1354">
        <f>'Basis &amp; Credits'!AB78</f>
        <v>0</v>
      </c>
      <c r="N27" s="1354"/>
      <c r="O27" s="1354"/>
      <c r="P27" s="1354"/>
      <c r="Q27" s="1354"/>
      <c r="R27" s="3" t="s">
        <v>1268</v>
      </c>
      <c r="S27" s="4"/>
      <c r="T27" s="4"/>
      <c r="U27" s="4"/>
      <c r="V27" s="4"/>
      <c r="W27" s="4"/>
      <c r="X27" s="4"/>
      <c r="Y27" s="4"/>
      <c r="Z27" s="4"/>
      <c r="AF27" s="4"/>
      <c r="AG27" s="4"/>
      <c r="AH27" s="4"/>
      <c r="AI27" s="4"/>
      <c r="AJ27" s="4"/>
      <c r="AK27" s="4"/>
      <c r="BD27" s="1247" t="s">
        <v>2099</v>
      </c>
      <c r="BE27" s="1249" t="b">
        <f>Application!M355="Yes"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1</v>
      </c>
    </row>
    <row r="30" spans="1:58" ht="12.9"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 customHeight="1">
      <c r="A33" s="519" t="s">
        <v>1279</v>
      </c>
      <c r="C33" s="519"/>
      <c r="D33" s="519"/>
      <c r="E33" s="519"/>
      <c r="F33" s="519"/>
      <c r="G33" s="519"/>
      <c r="H33" s="519"/>
      <c r="I33" s="519"/>
      <c r="J33" s="519"/>
      <c r="K33" s="519"/>
      <c r="L33" s="519"/>
      <c r="M33" s="519"/>
      <c r="N33" s="519"/>
      <c r="O33" s="1332" t="s">
        <v>670</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City of Los Angeles</v>
      </c>
    </row>
    <row r="34" spans="1:57" ht="12.9"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2620 S. Orchard Ave., 5217 W. Marathon St., 445 &amp; 451 Lucas, 516 S. Union, Los Angeles, CA</v>
      </c>
    </row>
    <row r="35" spans="1:57" ht="12.9"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
      </c>
    </row>
    <row r="36" spans="1:57" ht="12.9"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Los Angeles</v>
      </c>
    </row>
    <row r="37" spans="1:57" ht="12.9"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Los Angeles</v>
      </c>
    </row>
    <row r="38" spans="1:57" ht="12.9" customHeight="1">
      <c r="A38" s="3"/>
      <c r="AZ38" s="20"/>
      <c r="BD38" s="1248" t="s">
        <v>2535</v>
      </c>
      <c r="BE38" s="1249">
        <f>Application!I190</f>
        <v>90007</v>
      </c>
    </row>
    <row r="39" spans="1:57" ht="12.9"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96</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92</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0.5173913043478261</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0.5173913043478261</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433425.125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5</v>
      </c>
    </row>
    <row r="46" spans="1:57" ht="12.9"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1</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Community Revitalization &amp; Development Corporation</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David Rutledge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Queen Apartments GP,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Phillip Curls</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APG Holdings 2, LLC</v>
      </c>
    </row>
    <row r="54" spans="1:57" ht="12.9"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Alliance Property Group, Inc.</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1730 E. Holly Avenue, Suite 327</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El Segundo, CA 90245</v>
      </c>
    </row>
    <row r="60" spans="1:57" ht="12.9"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Phillip Curls</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pcurls@apg-dev.com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(select)</v>
      </c>
    </row>
    <row r="66" spans="1:57" ht="12.9"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0</v>
      </c>
    </row>
    <row r="67" spans="1:57" ht="12.9"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City of Los Angeles</v>
      </c>
    </row>
    <row r="70" spans="1:57" ht="12.9"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2.9"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0</v>
      </c>
    </row>
    <row r="73" spans="1:57" ht="12.9"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2568</v>
      </c>
      <c r="BE75" s="1249">
        <f>'Points System'!AF808</f>
        <v>10</v>
      </c>
    </row>
    <row r="76" spans="1:57" ht="12.9"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2569</v>
      </c>
      <c r="BE76" s="1249">
        <f>'Points System'!AF811</f>
        <v>0</v>
      </c>
    </row>
    <row r="77" spans="1:57" ht="12.9"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2570</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0</v>
      </c>
    </row>
    <row r="80" spans="1:57" ht="12.9"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2.9"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2.5392339787774256</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Los Angeles</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Elliott</v>
      </c>
    </row>
    <row r="86" spans="1:57" ht="12.9"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1910 Sunset Blvd.,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2.9"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2582</v>
      </c>
      <c r="BE89" s="1249">
        <f>Application!O158</f>
        <v>90026</v>
      </c>
    </row>
    <row r="90" spans="1:57" ht="12.9"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2583</v>
      </c>
      <c r="BE90" s="1249" t="str">
        <f>Application!H16</f>
        <v>Queen Apartments GP, LLC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1730 E. Holly Avenue, Suite 327</v>
      </c>
    </row>
    <row r="92" spans="1:57" ht="12.9"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2585</v>
      </c>
      <c r="BE92" s="1249" t="str">
        <f>Application!M234</f>
        <v>Los Angeles</v>
      </c>
    </row>
    <row r="93" spans="1:57" ht="12.9"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2586</v>
      </c>
      <c r="BE93" s="1249" t="str">
        <f>Application!W234</f>
        <v>CA</v>
      </c>
    </row>
    <row r="94" spans="1:57" ht="12.9"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2587</v>
      </c>
      <c r="BE94" s="1249">
        <f>Application!AC234</f>
        <v>90245</v>
      </c>
    </row>
    <row r="95" spans="1:57" ht="12.9"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2588</v>
      </c>
      <c r="BE95" s="1249" t="str">
        <f>Application!M235</f>
        <v>Phillip Curls</v>
      </c>
    </row>
    <row r="96" spans="1:57" ht="12.9"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2589</v>
      </c>
      <c r="BE96" s="1249" t="str">
        <f>Application!M237</f>
        <v>pcurls@apg-dev.com</v>
      </c>
    </row>
    <row r="97" spans="1:57" ht="12.9"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2590</v>
      </c>
      <c r="BE97" s="1249" t="str">
        <f>Application!M248</f>
        <v>david@crdc-housing.org</v>
      </c>
    </row>
    <row r="98" spans="1:57" ht="12.9"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2591</v>
      </c>
      <c r="BE98" s="1249" t="str">
        <f>Application!M256</f>
        <v>pcurls@apg-dev.com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2593</v>
      </c>
      <c r="BE100" s="1249" t="str">
        <f>Application!L279</f>
        <v>pcurls@apg-dev.com</v>
      </c>
    </row>
    <row r="101" spans="1:57" ht="12.9"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2598</v>
      </c>
      <c r="BE101">
        <f>'Sources and Uses Budget'!C105</f>
        <v>41608812</v>
      </c>
    </row>
    <row r="102" spans="1:57" ht="12.9"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2599</v>
      </c>
      <c r="BE102" t="b">
        <f>T197="Yes"</f>
        <v>1</v>
      </c>
    </row>
    <row r="103" spans="1:57" ht="12.9"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90">
        <v>5</v>
      </c>
      <c r="H113" s="1790"/>
      <c r="I113" s="3" t="s">
        <v>182</v>
      </c>
      <c r="L113" s="1790" t="s">
        <v>2731</v>
      </c>
      <c r="M113" s="1790"/>
      <c r="N113" s="1790"/>
      <c r="O113" s="1790"/>
      <c r="P113" s="1796" t="s">
        <v>2240</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1" t="s">
        <v>495</v>
      </c>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0" t="s">
        <v>2688</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Los Angeles</v>
      </c>
      <c r="DH122" s="1655"/>
      <c r="DI122" s="1655"/>
      <c r="DJ122" s="1655"/>
      <c r="DK122" s="1655"/>
      <c r="DL122" s="1655"/>
      <c r="DM122" s="1656"/>
    </row>
    <row r="123" spans="1:117" ht="12.9" customHeight="1">
      <c r="A123" s="3"/>
      <c r="B123" s="3"/>
      <c r="T123" s="3"/>
      <c r="U123" s="3"/>
      <c r="V123" s="3"/>
      <c r="W123" s="3"/>
      <c r="X123" s="3"/>
      <c r="Y123" s="1790" t="s">
        <v>2732</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646</v>
      </c>
      <c r="O153" s="1417" t="s">
        <v>876</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303" t="s">
        <v>440</v>
      </c>
      <c r="O154" s="1458"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17" t="s">
        <v>2734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7" t="s">
        <v>495</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3">
        <v>90026</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81" t="s">
        <v>2616</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786" t="s">
        <v>2617</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1203</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426">
        <v>24</v>
      </c>
      <c r="V176" s="1426"/>
      <c r="W176" s="1" t="s">
        <v>306</v>
      </c>
      <c r="X176" s="1785">
        <v>778</v>
      </c>
      <c r="Y176" s="1785"/>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1204</v>
      </c>
      <c r="AA178" t="s">
        <v>2080</v>
      </c>
      <c r="AE178" s="27" t="s">
        <v>305</v>
      </c>
      <c r="AF178" s="1784"/>
      <c r="AG178" s="1784"/>
      <c r="AH178" s="1" t="s">
        <v>306</v>
      </c>
      <c r="AI178" s="1805"/>
      <c r="AJ178" s="1805"/>
      <c r="AK178" s="1805"/>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359" t="str">
        <f>H18</f>
        <v>Queen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49" t="s">
        <v>2618</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417" t="s">
        <v>495</v>
      </c>
      <c r="J189" s="1372"/>
      <c r="K189" s="1372"/>
      <c r="L189" s="1372"/>
      <c r="M189" s="1372"/>
      <c r="N189" s="1372"/>
      <c r="O189" s="1372"/>
      <c r="P189" s="1372"/>
      <c r="Q189" t="s">
        <v>583</v>
      </c>
      <c r="T189" s="1372" t="s">
        <v>495</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49">
        <v>90007</v>
      </c>
      <c r="J190" s="1349"/>
      <c r="K190" s="1349"/>
      <c r="L190" s="1349"/>
      <c r="M190" s="1349"/>
      <c r="N190" s="1349"/>
      <c r="O190" t="s">
        <v>586</v>
      </c>
      <c r="T190" s="1791" t="s">
        <v>2619</v>
      </c>
      <c r="U190" s="1791"/>
      <c r="V190" s="1791"/>
      <c r="W190" s="1791"/>
      <c r="X190" s="1791"/>
      <c r="Y190" s="1791"/>
      <c r="Z190" s="1791"/>
      <c r="AA190" s="1791"/>
      <c r="AB190" s="1791"/>
      <c r="AC190" s="1791"/>
      <c r="AD190" s="1791"/>
      <c r="AE190" s="179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804" t="s">
        <v>2620</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795" t="s">
        <v>2215</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332" t="s">
        <v>670</v>
      </c>
      <c r="U195" s="1332"/>
      <c r="W195" t="s">
        <v>685</v>
      </c>
      <c r="AH195" s="1332">
        <v>37</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03" t="s">
        <v>546</v>
      </c>
      <c r="U196" s="1403"/>
      <c r="W196" t="s">
        <v>686</v>
      </c>
      <c r="AH196" s="1332">
        <v>57</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03" t="s">
        <v>546</v>
      </c>
      <c r="U197" s="1403"/>
      <c r="W197" t="s">
        <v>687</v>
      </c>
      <c r="AH197" s="1332">
        <v>28</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1653</v>
      </c>
      <c r="E198"/>
      <c r="F198"/>
      <c r="G198"/>
      <c r="H198"/>
      <c r="I198"/>
      <c r="J198"/>
      <c r="K198"/>
      <c r="L198"/>
      <c r="M198"/>
      <c r="N198"/>
      <c r="O198"/>
      <c r="P198"/>
      <c r="Q198"/>
      <c r="R198"/>
      <c r="S198"/>
      <c r="T198" s="1403">
        <v>5</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359" t="s">
        <v>385</v>
      </c>
      <c r="E204" s="1359"/>
      <c r="F204" s="1359"/>
      <c r="G204" s="1359"/>
      <c r="H204" s="1359"/>
      <c r="I204" s="1359"/>
      <c r="J204" s="1359"/>
      <c r="K204" s="1359"/>
      <c r="L204" s="1359"/>
      <c r="M204" s="1359"/>
      <c r="P204" s="1803">
        <f>M26</f>
        <v>1591536</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812" t="s">
        <v>1248</v>
      </c>
      <c r="E205" s="1359"/>
      <c r="F205" s="1359"/>
      <c r="G205" s="1359"/>
      <c r="H205" s="1359"/>
      <c r="I205" s="1359"/>
      <c r="J205" s="1359"/>
      <c r="K205" s="1359"/>
      <c r="L205" s="1359"/>
      <c r="M205" s="1359"/>
      <c r="P205" s="1783">
        <f>M27</f>
        <v>0</v>
      </c>
      <c r="Q205" s="1783"/>
      <c r="R205" s="1783"/>
      <c r="S205" s="1783"/>
      <c r="T205" s="1783"/>
      <c r="U205" s="1783"/>
      <c r="V205" s="28"/>
      <c r="W205" s="3" t="s">
        <v>1721</v>
      </c>
      <c r="Z205" s="1810" t="s">
        <v>1185</v>
      </c>
      <c r="AA205" s="1810"/>
      <c r="AB205" s="1810"/>
      <c r="AC205" s="1810"/>
      <c r="AD205" s="1810"/>
      <c r="AE205" s="1810"/>
      <c r="AF205" s="1810"/>
      <c r="AG205" s="1810"/>
      <c r="AH205" s="1810"/>
      <c r="AI205" s="1810"/>
      <c r="AJ205" s="1810"/>
      <c r="AK205" s="1810"/>
      <c r="AL205" s="1810"/>
      <c r="AM205" s="1810"/>
      <c r="AN205" s="1810"/>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417" t="s">
        <v>2621</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
        <v>1857</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332">
        <v>0</v>
      </c>
      <c r="R212" s="1332"/>
      <c r="T212" s="1797">
        <f>IFERROR(Q212/AG440,0)</f>
        <v>0</v>
      </c>
      <c r="U212" s="179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2234</v>
      </c>
      <c r="D218" s="28"/>
      <c r="AC218" s="2" t="s">
        <v>2463</v>
      </c>
      <c r="BC218" t="s">
        <v>530</v>
      </c>
    </row>
    <row r="219" spans="1:108" ht="12.9" customHeight="1">
      <c r="A219" s="2"/>
      <c r="C219" s="2"/>
      <c r="D219" s="3" t="s">
        <v>2464</v>
      </c>
      <c r="AZ219" s="3"/>
      <c r="BA219" s="3"/>
      <c r="BC219" t="s">
        <v>377</v>
      </c>
    </row>
    <row r="220" spans="1:108" ht="12.9" customHeight="1">
      <c r="A220" s="2"/>
      <c r="C220" s="2"/>
      <c r="D220" s="1418" t="s">
        <v>876</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876</v>
      </c>
      <c r="AD220" s="1811"/>
      <c r="AE220" s="1811"/>
      <c r="AF220" s="1811"/>
      <c r="AG220" s="1811"/>
      <c r="AH220" s="1811"/>
      <c r="AI220" s="1811"/>
      <c r="AJ220" s="1811"/>
      <c r="AK220" s="1811"/>
      <c r="AL220" s="1811"/>
      <c r="AM220" s="1811"/>
      <c r="AN220" s="1811"/>
      <c r="AO220" s="1811"/>
      <c r="AP220" s="1811"/>
      <c r="AQ220" s="1811"/>
      <c r="BA220" s="3"/>
      <c r="BC220" t="s">
        <v>300</v>
      </c>
    </row>
    <row r="221" spans="1:108" ht="12.9" customHeight="1">
      <c r="A221" s="2"/>
      <c r="B221" s="14"/>
      <c r="C221" s="2"/>
      <c r="BA221" s="3"/>
    </row>
    <row r="222" spans="1:108" ht="12.9"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792" t="str">
        <f>H16</f>
        <v>Queen Apartments GP, LLC</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 customHeight="1">
      <c r="D233" s="4" t="s">
        <v>85</v>
      </c>
      <c r="E233" s="4"/>
      <c r="F233" s="4"/>
      <c r="G233" s="4"/>
      <c r="H233" s="4"/>
      <c r="I233" s="4"/>
      <c r="J233" s="4"/>
      <c r="K233" s="4"/>
      <c r="M233" s="1417" t="s">
        <v>2622</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 customHeight="1">
      <c r="D234" s="4" t="s">
        <v>581</v>
      </c>
      <c r="E234" s="4"/>
      <c r="M234" s="1417" t="s">
        <v>495</v>
      </c>
      <c r="N234" s="1418"/>
      <c r="O234" s="1418"/>
      <c r="P234" s="1418"/>
      <c r="Q234" s="1418"/>
      <c r="R234" s="1418"/>
      <c r="S234" s="1418"/>
      <c r="T234" s="1418"/>
      <c r="V234" s="33" t="s">
        <v>86</v>
      </c>
      <c r="W234" s="1458" t="s">
        <v>2623</v>
      </c>
      <c r="X234" s="1437"/>
      <c r="Y234" s="4" t="s">
        <v>584</v>
      </c>
      <c r="AC234" s="1418">
        <v>90245</v>
      </c>
      <c r="AD234" s="1418"/>
      <c r="AE234" s="1418"/>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417" t="s">
        <v>2624</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7">
        <v>3234971705</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 customHeight="1">
      <c r="D237" s="4" t="s">
        <v>90</v>
      </c>
      <c r="E237" s="4"/>
      <c r="F237" s="4"/>
      <c r="M237" s="1786" t="s">
        <v>2625</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49" t="s">
        <v>300</v>
      </c>
      <c r="N238" s="1349"/>
      <c r="O238" s="1349"/>
      <c r="P238" s="1349"/>
      <c r="Q238" s="1349"/>
      <c r="R238" s="1349"/>
      <c r="S238" s="1349"/>
      <c r="T238" s="1349"/>
      <c r="U238" s="204" t="s">
        <v>907</v>
      </c>
      <c r="V238" s="204"/>
      <c r="W238" s="204"/>
      <c r="X238" s="204"/>
      <c r="Y238" s="204"/>
      <c r="Z238" s="204"/>
      <c r="AA238" s="1776" t="s">
        <v>2728</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420" t="s">
        <v>2626</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2627</v>
      </c>
      <c r="AG243" s="1421"/>
      <c r="AH243" s="1421"/>
      <c r="AI243" s="1421"/>
      <c r="AJ243" s="1421"/>
      <c r="AK243" s="142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17" t="s">
        <v>2628</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17" t="s">
        <v>2629</v>
      </c>
      <c r="N245" s="1418"/>
      <c r="O245" s="1418"/>
      <c r="P245" s="1418"/>
      <c r="Q245" s="1418"/>
      <c r="R245" s="1418"/>
      <c r="S245" s="1418"/>
      <c r="T245" s="1418"/>
      <c r="V245" s="33" t="s">
        <v>86</v>
      </c>
      <c r="W245" s="1458" t="s">
        <v>2623</v>
      </c>
      <c r="X245" s="1437"/>
      <c r="Y245" s="4" t="s">
        <v>584</v>
      </c>
      <c r="AC245" s="1418">
        <v>96001</v>
      </c>
      <c r="AD245" s="1418"/>
      <c r="AE245" s="1418"/>
      <c r="AF245" s="3" t="s">
        <v>1181</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417" t="s">
        <v>2630</v>
      </c>
      <c r="N246" s="1418"/>
      <c r="O246" s="1418"/>
      <c r="P246" s="1418"/>
      <c r="Q246" s="1418"/>
      <c r="R246" s="1418"/>
      <c r="S246" s="1418"/>
      <c r="T246" s="1418"/>
      <c r="U246" s="1418"/>
      <c r="V246" s="1418"/>
      <c r="W246" s="1418"/>
      <c r="X246" s="1418"/>
      <c r="Y246" s="1418"/>
      <c r="Z246" s="1418"/>
      <c r="AA246" s="1418"/>
      <c r="AB246" s="1418"/>
      <c r="AC246" s="1418"/>
      <c r="AD246" s="1418"/>
      <c r="AE246" s="1418"/>
      <c r="AH246" s="1779">
        <v>1E-3</v>
      </c>
      <c r="AI246" s="1779"/>
      <c r="AJ246" s="1779"/>
      <c r="AK246" s="1779"/>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347">
        <v>5302416960</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786" t="s">
        <v>2631</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7"/>
      <c r="AB249" s="1777"/>
      <c r="AC249" s="1777"/>
      <c r="AD249" s="1777"/>
      <c r="AE249" s="1777"/>
      <c r="AF249" s="1777"/>
      <c r="AG249" s="1777"/>
      <c r="AH249" s="1777"/>
      <c r="AI249" s="1777"/>
      <c r="AJ249" s="1777"/>
      <c r="AK249" s="1777"/>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420" t="s">
        <v>2633</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2632</v>
      </c>
      <c r="AG251" s="1421"/>
      <c r="AH251" s="1421"/>
      <c r="AI251" s="1421"/>
      <c r="AJ251" s="1421"/>
      <c r="AK251" s="1421"/>
      <c r="AU251" s="4"/>
      <c r="AV251" s="4"/>
      <c r="AW251" s="4"/>
      <c r="AX251" s="4"/>
      <c r="AY251" s="4"/>
      <c r="BN251" s="34"/>
    </row>
    <row r="252" spans="1:67" ht="12.9" customHeight="1">
      <c r="A252" s="19"/>
      <c r="B252" s="4"/>
      <c r="C252" s="4"/>
      <c r="D252" s="4" t="s">
        <v>85</v>
      </c>
      <c r="E252" s="4"/>
      <c r="F252" s="4"/>
      <c r="G252" s="4"/>
      <c r="H252" s="4"/>
      <c r="I252" s="4"/>
      <c r="J252" s="4"/>
      <c r="K252" s="4"/>
      <c r="L252" s="4"/>
      <c r="M252" s="1417" t="s">
        <v>2622</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 customHeight="1">
      <c r="A253" s="19"/>
      <c r="B253" s="4"/>
      <c r="C253" s="4"/>
      <c r="D253" s="4" t="s">
        <v>581</v>
      </c>
      <c r="E253" s="4"/>
      <c r="M253" s="1417" t="s">
        <v>2634</v>
      </c>
      <c r="N253" s="1418"/>
      <c r="O253" s="1418"/>
      <c r="P253" s="1418"/>
      <c r="Q253" s="1418"/>
      <c r="R253" s="1418"/>
      <c r="S253" s="1418"/>
      <c r="T253" s="1418"/>
      <c r="V253" s="33" t="s">
        <v>86</v>
      </c>
      <c r="W253" s="1458" t="s">
        <v>2623</v>
      </c>
      <c r="X253" s="1437"/>
      <c r="Y253" s="4" t="s">
        <v>584</v>
      </c>
      <c r="AC253" s="1418">
        <v>90245</v>
      </c>
      <c r="AD253" s="1418"/>
      <c r="AE253" s="1418"/>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417" t="s">
        <v>2624</v>
      </c>
      <c r="N254" s="1418"/>
      <c r="O254" s="1418"/>
      <c r="P254" s="1418"/>
      <c r="Q254" s="1418"/>
      <c r="R254" s="1418"/>
      <c r="S254" s="1418"/>
      <c r="T254" s="1418"/>
      <c r="U254" s="1418"/>
      <c r="V254" s="1418"/>
      <c r="W254" s="1418"/>
      <c r="X254" s="1418"/>
      <c r="Y254" s="1418"/>
      <c r="Z254" s="1418"/>
      <c r="AA254" s="1418"/>
      <c r="AB254" s="1418"/>
      <c r="AC254" s="1418"/>
      <c r="AD254" s="1418"/>
      <c r="AE254" s="1418"/>
      <c r="AH254" s="1779">
        <v>8.9999999999999993E-3</v>
      </c>
      <c r="AI254" s="1779"/>
      <c r="AJ254" s="1779"/>
      <c r="AK254" s="1779"/>
      <c r="AL254" s="4"/>
      <c r="AM254" s="4"/>
      <c r="AN254" s="4"/>
      <c r="AO254" s="4"/>
      <c r="AP254" s="4"/>
      <c r="AQ254" s="4"/>
      <c r="AR254" s="4"/>
      <c r="AS254" s="4"/>
      <c r="AT254" s="4"/>
    </row>
    <row r="255" spans="1:67" ht="12.9" customHeight="1">
      <c r="A255" s="19"/>
      <c r="B255" s="4"/>
      <c r="C255" s="4"/>
      <c r="D255" s="4" t="s">
        <v>88</v>
      </c>
      <c r="E255" s="4"/>
      <c r="F255" s="4"/>
      <c r="M255" s="1347">
        <v>3234971705</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 customHeight="1">
      <c r="A256" s="19"/>
      <c r="B256" s="4"/>
      <c r="C256" s="4"/>
      <c r="D256" s="4" t="s">
        <v>90</v>
      </c>
      <c r="E256" s="4"/>
      <c r="F256" s="4"/>
      <c r="M256" s="1786" t="s">
        <v>2625</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4" t="s">
        <v>907</v>
      </c>
      <c r="V257" s="204"/>
      <c r="W257" s="204"/>
      <c r="X257" s="204"/>
      <c r="Y257" s="204"/>
      <c r="Z257" s="204"/>
      <c r="AA257" s="1776" t="s">
        <v>2728</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418" t="s">
        <v>173</v>
      </c>
      <c r="E270" s="1418"/>
      <c r="F270" s="1418"/>
      <c r="G270" s="1418"/>
      <c r="H270" s="1418"/>
      <c r="J270" t="s">
        <v>279</v>
      </c>
      <c r="X270" s="1691">
        <v>45992</v>
      </c>
      <c r="Y270" s="1691"/>
      <c r="Z270" s="1691"/>
      <c r="AA270" s="1691"/>
      <c r="AB270" s="1691"/>
      <c r="AC270" s="1691"/>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20" t="s">
        <v>2635</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7" t="s">
        <v>2622</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581</v>
      </c>
      <c r="E276" s="4"/>
      <c r="L276" s="1417" t="s">
        <v>2634</v>
      </c>
      <c r="M276" s="1418"/>
      <c r="N276" s="1418"/>
      <c r="O276" s="1418"/>
      <c r="P276" s="1418"/>
      <c r="Q276" s="1418"/>
      <c r="R276" s="1418"/>
      <c r="S276" s="1418"/>
      <c r="U276" s="33" t="s">
        <v>86</v>
      </c>
      <c r="V276" s="1458" t="s">
        <v>2623</v>
      </c>
      <c r="W276" s="1437"/>
      <c r="X276" s="4" t="s">
        <v>584</v>
      </c>
      <c r="AB276" s="1418">
        <v>90245</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7" t="s">
        <v>2624</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7">
        <v>3234971705</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 customHeight="1">
      <c r="D279" s="4" t="s">
        <v>90</v>
      </c>
      <c r="E279" s="4"/>
      <c r="F279" s="4"/>
      <c r="L279" s="1786" t="s">
        <v>2625</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 customHeight="1">
      <c r="D280" s="3" t="s">
        <v>624</v>
      </c>
      <c r="E280" s="3"/>
      <c r="F280" s="3"/>
      <c r="G280" s="3"/>
      <c r="H280" s="3"/>
      <c r="I280" s="3"/>
      <c r="L280" s="1458" t="s">
        <v>2636</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17" t="s">
        <v>2637</v>
      </c>
      <c r="I287" s="1372"/>
      <c r="J287" s="1372"/>
      <c r="K287" s="1372"/>
      <c r="L287" s="1372"/>
      <c r="M287" s="1372"/>
      <c r="N287" s="1372"/>
      <c r="O287" s="1372"/>
      <c r="P287" s="1372"/>
      <c r="Q287" s="1372"/>
      <c r="R287" s="1372"/>
      <c r="T287" s="3" t="s">
        <v>568</v>
      </c>
      <c r="V287" s="3"/>
      <c r="W287" s="3"/>
      <c r="X287" s="3"/>
      <c r="Y287" s="3"/>
      <c r="AA287" s="1417" t="s">
        <v>2644</v>
      </c>
      <c r="AB287" s="1372"/>
      <c r="AC287" s="1372"/>
      <c r="AD287" s="1372"/>
      <c r="AE287" s="1372"/>
      <c r="AF287" s="1372"/>
      <c r="AG287" s="1372"/>
      <c r="AH287" s="1372"/>
      <c r="AI287" s="1372"/>
      <c r="AJ287" s="1372"/>
      <c r="AK287" s="1372"/>
    </row>
    <row r="288" spans="1:51" ht="12.9" customHeight="1">
      <c r="B288" s="3" t="s">
        <v>472</v>
      </c>
      <c r="C288" s="3"/>
      <c r="D288" s="3"/>
      <c r="E288" s="3"/>
      <c r="F288" s="3"/>
      <c r="H288" s="1458" t="s">
        <v>2622</v>
      </c>
      <c r="I288" s="1349"/>
      <c r="J288" s="1349"/>
      <c r="K288" s="1349"/>
      <c r="L288" s="1349"/>
      <c r="M288" s="1349"/>
      <c r="N288" s="1349"/>
      <c r="O288" s="1349"/>
      <c r="P288" s="1349"/>
      <c r="Q288" s="1349"/>
      <c r="R288" s="1349"/>
      <c r="T288" s="3" t="s">
        <v>472</v>
      </c>
      <c r="V288" s="3"/>
      <c r="W288" s="3"/>
      <c r="X288" s="3"/>
      <c r="Y288" s="3"/>
      <c r="AA288" s="1458" t="s">
        <v>2645</v>
      </c>
      <c r="AB288" s="1349"/>
      <c r="AC288" s="1349"/>
      <c r="AD288" s="1349"/>
      <c r="AE288" s="1349"/>
      <c r="AF288" s="1349"/>
      <c r="AG288" s="1349"/>
      <c r="AH288" s="1349"/>
      <c r="AI288" s="1349"/>
      <c r="AJ288" s="1349"/>
      <c r="AK288" s="1349"/>
    </row>
    <row r="289" spans="2:37" ht="12.9" customHeight="1">
      <c r="B289" s="3" t="s">
        <v>473</v>
      </c>
      <c r="C289" s="3"/>
      <c r="D289" s="3"/>
      <c r="E289" s="3"/>
      <c r="F289" s="3"/>
      <c r="H289" s="1458" t="s">
        <v>2638</v>
      </c>
      <c r="I289" s="1349"/>
      <c r="J289" s="1349"/>
      <c r="K289" s="1349"/>
      <c r="L289" s="1349"/>
      <c r="M289" s="1349"/>
      <c r="N289" s="1349"/>
      <c r="O289" s="1349"/>
      <c r="P289" s="1349"/>
      <c r="Q289" s="1349"/>
      <c r="R289" s="1349"/>
      <c r="T289" s="3" t="s">
        <v>75</v>
      </c>
      <c r="V289" s="3"/>
      <c r="W289" s="3"/>
      <c r="X289" s="3"/>
      <c r="Y289" s="3"/>
      <c r="AA289" s="1458" t="s">
        <v>2646</v>
      </c>
      <c r="AB289" s="1349"/>
      <c r="AC289" s="1349"/>
      <c r="AD289" s="1349"/>
      <c r="AE289" s="1349"/>
      <c r="AF289" s="1349"/>
      <c r="AG289" s="1349"/>
      <c r="AH289" s="1349"/>
      <c r="AI289" s="1349"/>
      <c r="AJ289" s="1349"/>
      <c r="AK289" s="1349"/>
    </row>
    <row r="290" spans="2:37" ht="12.9" customHeight="1">
      <c r="B290" s="3" t="s">
        <v>87</v>
      </c>
      <c r="C290" s="3"/>
      <c r="D290" s="3"/>
      <c r="E290" s="3"/>
      <c r="F290" s="3"/>
      <c r="H290" s="1458" t="s">
        <v>2624</v>
      </c>
      <c r="I290" s="1349"/>
      <c r="J290" s="1349"/>
      <c r="K290" s="1349"/>
      <c r="L290" s="1349"/>
      <c r="M290" s="1349"/>
      <c r="N290" s="1349"/>
      <c r="O290" s="1349"/>
      <c r="P290" s="1349"/>
      <c r="Q290" s="1349"/>
      <c r="R290" s="1349"/>
      <c r="T290" s="3" t="s">
        <v>87</v>
      </c>
      <c r="V290" s="3"/>
      <c r="W290" s="3"/>
      <c r="X290" s="3"/>
      <c r="Y290" s="3"/>
      <c r="AA290" s="1458" t="s">
        <v>2647</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424">
        <v>3234971705</v>
      </c>
      <c r="I291" s="1424"/>
      <c r="J291" s="1424"/>
      <c r="K291" s="1424"/>
      <c r="L291" s="1424"/>
      <c r="M291" s="1424"/>
      <c r="N291" s="4" t="s">
        <v>206</v>
      </c>
      <c r="O291" s="4"/>
      <c r="P291" s="1418"/>
      <c r="Q291" s="1418"/>
      <c r="R291" s="1418"/>
      <c r="S291" s="3"/>
      <c r="T291" s="3" t="s">
        <v>88</v>
      </c>
      <c r="V291" s="3"/>
      <c r="W291" s="3"/>
      <c r="X291" s="3"/>
      <c r="Y291" s="3"/>
      <c r="AA291" s="1781">
        <v>7142418944</v>
      </c>
      <c r="AB291" s="1424"/>
      <c r="AC291" s="1424"/>
      <c r="AD291" s="1424"/>
      <c r="AE291" s="1424"/>
      <c r="AF291" s="1424"/>
      <c r="AG291" s="4" t="s">
        <v>206</v>
      </c>
      <c r="AH291" s="4"/>
      <c r="AI291" s="1418"/>
      <c r="AJ291" s="1418"/>
      <c r="AK291" s="1418"/>
    </row>
    <row r="292" spans="2:37" ht="12.9"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 customHeight="1">
      <c r="B293" s="3" t="s">
        <v>76</v>
      </c>
      <c r="C293" s="3"/>
      <c r="D293" s="3"/>
      <c r="E293" s="3"/>
      <c r="F293" s="3"/>
      <c r="G293" s="3"/>
      <c r="H293" s="1458" t="s">
        <v>2625</v>
      </c>
      <c r="I293" s="1349"/>
      <c r="J293" s="1349"/>
      <c r="K293" s="1349"/>
      <c r="L293" s="1349"/>
      <c r="M293" s="1349"/>
      <c r="N293" s="1372"/>
      <c r="O293" s="1372"/>
      <c r="P293" s="1372"/>
      <c r="Q293" s="1372"/>
      <c r="R293" s="1372"/>
      <c r="S293" s="3"/>
      <c r="T293" s="3" t="s">
        <v>76</v>
      </c>
      <c r="V293" s="3"/>
      <c r="W293" s="3"/>
      <c r="X293" s="3"/>
      <c r="Y293" s="3"/>
      <c r="AA293" s="1458" t="s">
        <v>2648</v>
      </c>
      <c r="AB293" s="1349"/>
      <c r="AC293" s="1349"/>
      <c r="AD293" s="1349"/>
      <c r="AE293" s="1349"/>
      <c r="AF293" s="1349"/>
      <c r="AG293" s="1372"/>
      <c r="AH293" s="1372"/>
      <c r="AI293" s="1372"/>
      <c r="AJ293" s="1372"/>
      <c r="AK293" s="1372"/>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17" t="s">
        <v>2639</v>
      </c>
      <c r="I295" s="1372"/>
      <c r="J295" s="1372"/>
      <c r="K295" s="1372"/>
      <c r="L295" s="1372"/>
      <c r="M295" s="1372"/>
      <c r="N295" s="1372"/>
      <c r="O295" s="1372"/>
      <c r="P295" s="1372"/>
      <c r="Q295" s="1372"/>
      <c r="R295" s="1372"/>
      <c r="T295" s="3" t="s">
        <v>364</v>
      </c>
      <c r="V295" s="3"/>
      <c r="W295" s="3"/>
      <c r="X295" s="3"/>
      <c r="Y295" s="3"/>
      <c r="AA295" s="1417" t="s">
        <v>2649</v>
      </c>
      <c r="AB295" s="1372"/>
      <c r="AC295" s="1372"/>
      <c r="AD295" s="1372"/>
      <c r="AE295" s="1372"/>
      <c r="AF295" s="1372"/>
      <c r="AG295" s="1372"/>
      <c r="AH295" s="1372"/>
      <c r="AI295" s="1372"/>
      <c r="AJ295" s="1372"/>
      <c r="AK295" s="1372"/>
    </row>
    <row r="296" spans="2:37" ht="12.9" customHeight="1">
      <c r="B296" s="3" t="s">
        <v>472</v>
      </c>
      <c r="C296" s="3"/>
      <c r="D296" s="3"/>
      <c r="E296" s="3"/>
      <c r="F296" s="3"/>
      <c r="H296" s="1458" t="s">
        <v>2640</v>
      </c>
      <c r="I296" s="1349"/>
      <c r="J296" s="1349"/>
      <c r="K296" s="1349"/>
      <c r="L296" s="1349"/>
      <c r="M296" s="1349"/>
      <c r="N296" s="1349"/>
      <c r="O296" s="1349"/>
      <c r="P296" s="1349"/>
      <c r="Q296" s="1349"/>
      <c r="R296" s="1349"/>
      <c r="T296" s="3" t="s">
        <v>472</v>
      </c>
      <c r="V296" s="3"/>
      <c r="W296" s="3"/>
      <c r="X296" s="3"/>
      <c r="Y296" s="3"/>
      <c r="AA296" s="1458" t="s">
        <v>2650</v>
      </c>
      <c r="AB296" s="1349"/>
      <c r="AC296" s="1349"/>
      <c r="AD296" s="1349"/>
      <c r="AE296" s="1349"/>
      <c r="AF296" s="1349"/>
      <c r="AG296" s="1349"/>
      <c r="AH296" s="1349"/>
      <c r="AI296" s="1349"/>
      <c r="AJ296" s="1349"/>
      <c r="AK296" s="1349"/>
    </row>
    <row r="297" spans="2:37" ht="12.9" customHeight="1">
      <c r="B297" s="3" t="s">
        <v>473</v>
      </c>
      <c r="C297" s="3"/>
      <c r="D297" s="3"/>
      <c r="E297" s="3"/>
      <c r="F297" s="3"/>
      <c r="H297" s="1458" t="s">
        <v>2641</v>
      </c>
      <c r="I297" s="1349"/>
      <c r="J297" s="1349"/>
      <c r="K297" s="1349"/>
      <c r="L297" s="1349"/>
      <c r="M297" s="1349"/>
      <c r="N297" s="1349"/>
      <c r="O297" s="1349"/>
      <c r="P297" s="1349"/>
      <c r="Q297" s="1349"/>
      <c r="R297" s="1349"/>
      <c r="T297" s="3" t="s">
        <v>75</v>
      </c>
      <c r="V297" s="3"/>
      <c r="W297" s="3"/>
      <c r="X297" s="3"/>
      <c r="Y297" s="3"/>
      <c r="AA297" s="1458" t="s">
        <v>2651</v>
      </c>
      <c r="AB297" s="1349"/>
      <c r="AC297" s="1349"/>
      <c r="AD297" s="1349"/>
      <c r="AE297" s="1349"/>
      <c r="AF297" s="1349"/>
      <c r="AG297" s="1349"/>
      <c r="AH297" s="1349"/>
      <c r="AI297" s="1349"/>
      <c r="AJ297" s="1349"/>
      <c r="AK297" s="1349"/>
    </row>
    <row r="298" spans="2:37" ht="12.9" customHeight="1">
      <c r="B298" s="3" t="s">
        <v>87</v>
      </c>
      <c r="C298" s="3"/>
      <c r="D298" s="3"/>
      <c r="E298" s="3"/>
      <c r="F298" s="3"/>
      <c r="H298" s="1458" t="s">
        <v>2642</v>
      </c>
      <c r="I298" s="1349"/>
      <c r="J298" s="1349"/>
      <c r="K298" s="1349"/>
      <c r="L298" s="1349"/>
      <c r="M298" s="1349"/>
      <c r="N298" s="1349"/>
      <c r="O298" s="1349"/>
      <c r="P298" s="1349"/>
      <c r="Q298" s="1349"/>
      <c r="R298" s="1349"/>
      <c r="T298" s="3" t="s">
        <v>87</v>
      </c>
      <c r="V298" s="3"/>
      <c r="W298" s="3"/>
      <c r="X298" s="3"/>
      <c r="Y298" s="3"/>
      <c r="AA298" s="1458" t="s">
        <v>2652</v>
      </c>
      <c r="AB298" s="1349"/>
      <c r="AC298" s="1349"/>
      <c r="AD298" s="1349"/>
      <c r="AE298" s="1349"/>
      <c r="AF298" s="1349"/>
      <c r="AG298" s="1349"/>
      <c r="AH298" s="1349"/>
      <c r="AI298" s="1349"/>
      <c r="AJ298" s="1349"/>
      <c r="AK298" s="1349"/>
    </row>
    <row r="299" spans="2:37" ht="12.9" customHeight="1">
      <c r="B299" s="3" t="s">
        <v>88</v>
      </c>
      <c r="C299" s="3"/>
      <c r="D299" s="3"/>
      <c r="E299" s="3"/>
      <c r="F299" s="3"/>
      <c r="G299" s="3"/>
      <c r="H299" s="1424">
        <v>9164440826</v>
      </c>
      <c r="I299" s="1424"/>
      <c r="J299" s="1424"/>
      <c r="K299" s="1424"/>
      <c r="L299" s="1424"/>
      <c r="M299" s="1424"/>
      <c r="N299" s="4" t="s">
        <v>206</v>
      </c>
      <c r="O299" s="4"/>
      <c r="P299" s="1418"/>
      <c r="Q299" s="1418"/>
      <c r="R299" s="1418"/>
      <c r="S299" s="3"/>
      <c r="T299" s="3" t="s">
        <v>88</v>
      </c>
      <c r="V299" s="3"/>
      <c r="W299" s="3"/>
      <c r="X299" s="3"/>
      <c r="Y299" s="3"/>
      <c r="AA299" s="1424">
        <v>4806984586</v>
      </c>
      <c r="AB299" s="1424"/>
      <c r="AC299" s="1424"/>
      <c r="AD299" s="1424"/>
      <c r="AE299" s="1424"/>
      <c r="AF299" s="1424"/>
      <c r="AG299" s="4" t="s">
        <v>206</v>
      </c>
      <c r="AH299" s="4"/>
      <c r="AI299" s="1418"/>
      <c r="AJ299" s="1418"/>
      <c r="AK299" s="1418"/>
    </row>
    <row r="300" spans="2:37" ht="12.9"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 customHeight="1">
      <c r="B301" s="3" t="s">
        <v>76</v>
      </c>
      <c r="C301" s="3"/>
      <c r="D301" s="3"/>
      <c r="E301" s="3"/>
      <c r="F301" s="3"/>
      <c r="G301" s="3"/>
      <c r="H301" s="1458" t="s">
        <v>2643</v>
      </c>
      <c r="I301" s="1349"/>
      <c r="J301" s="1349"/>
      <c r="K301" s="1349"/>
      <c r="L301" s="1349"/>
      <c r="M301" s="1349"/>
      <c r="N301" s="1372"/>
      <c r="O301" s="1372"/>
      <c r="P301" s="1372"/>
      <c r="Q301" s="1372"/>
      <c r="R301" s="1372"/>
      <c r="S301" s="3"/>
      <c r="T301" s="3" t="s">
        <v>76</v>
      </c>
      <c r="V301" s="3"/>
      <c r="W301" s="3"/>
      <c r="X301" s="3"/>
      <c r="Y301" s="3"/>
      <c r="AA301" s="1458" t="s">
        <v>2653</v>
      </c>
      <c r="AB301" s="1349"/>
      <c r="AC301" s="1349"/>
      <c r="AD301" s="1349"/>
      <c r="AE301" s="1349"/>
      <c r="AF301" s="1349"/>
      <c r="AG301" s="1372"/>
      <c r="AH301" s="1372"/>
      <c r="AI301" s="1372"/>
      <c r="AJ301" s="1372"/>
      <c r="AK301" s="1372"/>
    </row>
    <row r="302" spans="2:37" ht="12.9" customHeight="1"/>
    <row r="303" spans="2:37" ht="12.9" customHeight="1">
      <c r="B303" s="3" t="s">
        <v>77</v>
      </c>
      <c r="C303" s="3"/>
      <c r="D303" s="3"/>
      <c r="E303" s="3"/>
      <c r="F303" s="3"/>
      <c r="H303" s="1372"/>
      <c r="I303" s="1372"/>
      <c r="J303" s="1372"/>
      <c r="K303" s="1372"/>
      <c r="L303" s="1372"/>
      <c r="M303" s="1372"/>
      <c r="N303" s="1372"/>
      <c r="O303" s="1372"/>
      <c r="P303" s="1372"/>
      <c r="Q303" s="1372"/>
      <c r="R303" s="1372"/>
      <c r="T303" s="4" t="s">
        <v>879</v>
      </c>
      <c r="V303" s="3"/>
      <c r="W303" s="3"/>
      <c r="X303" s="3"/>
      <c r="Y303" s="3"/>
      <c r="AA303" s="1417" t="s">
        <v>2654</v>
      </c>
      <c r="AB303" s="1372"/>
      <c r="AC303" s="1372"/>
      <c r="AD303" s="1372"/>
      <c r="AE303" s="1372"/>
      <c r="AF303" s="1372"/>
      <c r="AG303" s="1372"/>
      <c r="AH303" s="1372"/>
      <c r="AI303" s="1372"/>
      <c r="AJ303" s="1372"/>
      <c r="AK303" s="1372"/>
    </row>
    <row r="304" spans="2:37" ht="12.9" customHeight="1">
      <c r="B304" s="3" t="s">
        <v>472</v>
      </c>
      <c r="C304" s="3"/>
      <c r="D304" s="3"/>
      <c r="E304" s="3"/>
      <c r="F304" s="3"/>
      <c r="H304" s="1349"/>
      <c r="I304" s="1349"/>
      <c r="J304" s="1349"/>
      <c r="K304" s="1349"/>
      <c r="L304" s="1349"/>
      <c r="M304" s="1349"/>
      <c r="N304" s="1349"/>
      <c r="O304" s="1349"/>
      <c r="P304" s="1349"/>
      <c r="Q304" s="1349"/>
      <c r="R304" s="1349"/>
      <c r="T304" s="3" t="s">
        <v>472</v>
      </c>
      <c r="V304" s="3"/>
      <c r="W304" s="3"/>
      <c r="X304" s="3"/>
      <c r="Y304" s="3"/>
      <c r="AA304" s="1458" t="s">
        <v>2655</v>
      </c>
      <c r="AB304" s="1349"/>
      <c r="AC304" s="1349"/>
      <c r="AD304" s="1349"/>
      <c r="AE304" s="1349"/>
      <c r="AF304" s="1349"/>
      <c r="AG304" s="1349"/>
      <c r="AH304" s="1349"/>
      <c r="AI304" s="1349"/>
      <c r="AJ304" s="1349"/>
      <c r="AK304" s="1349"/>
    </row>
    <row r="305" spans="2:37" ht="12.9" customHeight="1">
      <c r="B305" s="3" t="s">
        <v>473</v>
      </c>
      <c r="C305" s="3"/>
      <c r="D305" s="3"/>
      <c r="E305" s="3"/>
      <c r="F305" s="3"/>
      <c r="H305" s="1349"/>
      <c r="I305" s="1349"/>
      <c r="J305" s="1349"/>
      <c r="K305" s="1349"/>
      <c r="L305" s="1349"/>
      <c r="M305" s="1349"/>
      <c r="N305" s="1349"/>
      <c r="O305" s="1349"/>
      <c r="P305" s="1349"/>
      <c r="Q305" s="1349"/>
      <c r="R305" s="1349"/>
      <c r="T305" s="3" t="s">
        <v>75</v>
      </c>
      <c r="V305" s="3"/>
      <c r="W305" s="3"/>
      <c r="X305" s="3"/>
      <c r="Y305" s="3"/>
      <c r="AA305" s="1458" t="s">
        <v>2656</v>
      </c>
      <c r="AB305" s="1349"/>
      <c r="AC305" s="1349"/>
      <c r="AD305" s="1349"/>
      <c r="AE305" s="1349"/>
      <c r="AF305" s="1349"/>
      <c r="AG305" s="1349"/>
      <c r="AH305" s="1349"/>
      <c r="AI305" s="1349"/>
      <c r="AJ305" s="1349"/>
      <c r="AK305" s="1349"/>
    </row>
    <row r="306" spans="2:37" ht="12.9" customHeight="1">
      <c r="B306" s="3" t="s">
        <v>87</v>
      </c>
      <c r="C306" s="3"/>
      <c r="D306" s="3"/>
      <c r="E306" s="3"/>
      <c r="F306" s="3"/>
      <c r="H306" s="1349"/>
      <c r="I306" s="1349"/>
      <c r="J306" s="1349"/>
      <c r="K306" s="1349"/>
      <c r="L306" s="1349"/>
      <c r="M306" s="1349"/>
      <c r="N306" s="1349"/>
      <c r="O306" s="1349"/>
      <c r="P306" s="1349"/>
      <c r="Q306" s="1349"/>
      <c r="R306" s="1349"/>
      <c r="T306" s="3" t="s">
        <v>87</v>
      </c>
      <c r="V306" s="3"/>
      <c r="W306" s="3"/>
      <c r="X306" s="3"/>
      <c r="Y306" s="3"/>
      <c r="AA306" s="1458" t="s">
        <v>2657</v>
      </c>
      <c r="AB306" s="1349"/>
      <c r="AC306" s="1349"/>
      <c r="AD306" s="1349"/>
      <c r="AE306" s="1349"/>
      <c r="AF306" s="1349"/>
      <c r="AG306" s="1349"/>
      <c r="AH306" s="1349"/>
      <c r="AI306" s="1349"/>
      <c r="AJ306" s="1349"/>
      <c r="AK306" s="1349"/>
    </row>
    <row r="307" spans="2:37" ht="12.9" customHeight="1">
      <c r="B307" s="3" t="s">
        <v>88</v>
      </c>
      <c r="C307" s="3"/>
      <c r="D307" s="3"/>
      <c r="E307" s="3"/>
      <c r="F307" s="3"/>
      <c r="G307" s="3"/>
      <c r="H307" s="1424"/>
      <c r="I307" s="1424"/>
      <c r="J307" s="1424"/>
      <c r="K307" s="1424"/>
      <c r="L307" s="1424"/>
      <c r="M307" s="1424"/>
      <c r="N307" s="4" t="s">
        <v>206</v>
      </c>
      <c r="O307" s="4"/>
      <c r="P307" s="1418"/>
      <c r="Q307" s="1418"/>
      <c r="R307" s="1418"/>
      <c r="S307" s="3"/>
      <c r="T307" s="3" t="s">
        <v>88</v>
      </c>
      <c r="V307" s="3"/>
      <c r="W307" s="3"/>
      <c r="X307" s="3"/>
      <c r="Y307" s="3"/>
      <c r="AA307" s="1424">
        <v>3102206274</v>
      </c>
      <c r="AB307" s="1424"/>
      <c r="AC307" s="1424"/>
      <c r="AD307" s="1424"/>
      <c r="AE307" s="1424"/>
      <c r="AF307" s="1424"/>
      <c r="AG307" s="4" t="s">
        <v>206</v>
      </c>
      <c r="AH307" s="4"/>
      <c r="AI307" s="1418"/>
      <c r="AJ307" s="1418"/>
      <c r="AK307" s="1418"/>
    </row>
    <row r="308" spans="2:37" ht="12.9"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 customHeight="1">
      <c r="B309" s="3" t="s">
        <v>76</v>
      </c>
      <c r="C309" s="3"/>
      <c r="D309" s="3"/>
      <c r="E309" s="3"/>
      <c r="F309" s="3"/>
      <c r="G309" s="3"/>
      <c r="H309" s="1349"/>
      <c r="I309" s="1349"/>
      <c r="J309" s="1349"/>
      <c r="K309" s="1349"/>
      <c r="L309" s="1349"/>
      <c r="M309" s="1349"/>
      <c r="N309" s="1372"/>
      <c r="O309" s="1372"/>
      <c r="P309" s="1372"/>
      <c r="Q309" s="1372"/>
      <c r="R309" s="1372"/>
      <c r="S309" s="3"/>
      <c r="T309" s="3" t="s">
        <v>76</v>
      </c>
      <c r="V309" s="3"/>
      <c r="W309" s="3"/>
      <c r="X309" s="3"/>
      <c r="Y309" s="3"/>
      <c r="AA309" s="1458" t="s">
        <v>2658</v>
      </c>
      <c r="AB309" s="1349"/>
      <c r="AC309" s="1349"/>
      <c r="AD309" s="1349"/>
      <c r="AE309" s="1349"/>
      <c r="AF309" s="1349"/>
      <c r="AG309" s="1372"/>
      <c r="AH309" s="1372"/>
      <c r="AI309" s="1372"/>
      <c r="AJ309" s="1372"/>
      <c r="AK309" s="137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17" t="s">
        <v>2659</v>
      </c>
      <c r="I311" s="1372"/>
      <c r="J311" s="1372"/>
      <c r="K311" s="1372"/>
      <c r="L311" s="1372"/>
      <c r="M311" s="1372"/>
      <c r="N311" s="1372"/>
      <c r="O311" s="1372"/>
      <c r="P311" s="1372"/>
      <c r="Q311" s="1372"/>
      <c r="R311" s="1372"/>
      <c r="S311" s="3"/>
      <c r="T311" s="3" t="s">
        <v>365</v>
      </c>
      <c r="V311" s="3"/>
      <c r="W311" s="3"/>
      <c r="X311" s="3"/>
      <c r="Y311" s="3"/>
      <c r="AA311" s="1417" t="s">
        <v>2664</v>
      </c>
      <c r="AB311" s="1372"/>
      <c r="AC311" s="1372"/>
      <c r="AD311" s="1372"/>
      <c r="AE311" s="1372"/>
      <c r="AF311" s="1372"/>
      <c r="AG311" s="1372"/>
      <c r="AH311" s="1372"/>
      <c r="AI311" s="1372"/>
      <c r="AJ311" s="1372"/>
      <c r="AK311" s="1372"/>
    </row>
    <row r="312" spans="2:37" ht="12.9" customHeight="1">
      <c r="B312" s="3" t="s">
        <v>472</v>
      </c>
      <c r="C312" s="3"/>
      <c r="D312" s="3"/>
      <c r="E312" s="3"/>
      <c r="F312" s="3"/>
      <c r="H312" s="1458" t="s">
        <v>2660</v>
      </c>
      <c r="I312" s="1349"/>
      <c r="J312" s="1349"/>
      <c r="K312" s="1349"/>
      <c r="L312" s="1349"/>
      <c r="M312" s="1349"/>
      <c r="N312" s="1349"/>
      <c r="O312" s="1349"/>
      <c r="P312" s="1349"/>
      <c r="Q312" s="1349"/>
      <c r="R312" s="1349"/>
      <c r="S312" s="3"/>
      <c r="T312" s="3" t="s">
        <v>472</v>
      </c>
      <c r="V312" s="3"/>
      <c r="W312" s="3"/>
      <c r="X312" s="3"/>
      <c r="Y312" s="3"/>
      <c r="AA312" s="1458" t="s">
        <v>2665</v>
      </c>
      <c r="AB312" s="1349"/>
      <c r="AC312" s="1349"/>
      <c r="AD312" s="1349"/>
      <c r="AE312" s="1349"/>
      <c r="AF312" s="1349"/>
      <c r="AG312" s="1349"/>
      <c r="AH312" s="1349"/>
      <c r="AI312" s="1349"/>
      <c r="AJ312" s="1349"/>
      <c r="AK312" s="1349"/>
    </row>
    <row r="313" spans="2:37" ht="12.9" customHeight="1">
      <c r="B313" s="3" t="s">
        <v>473</v>
      </c>
      <c r="C313" s="3"/>
      <c r="D313" s="3"/>
      <c r="E313" s="3"/>
      <c r="F313" s="3"/>
      <c r="H313" s="1458" t="s">
        <v>2661</v>
      </c>
      <c r="I313" s="1349"/>
      <c r="J313" s="1349"/>
      <c r="K313" s="1349"/>
      <c r="L313" s="1349"/>
      <c r="M313" s="1349"/>
      <c r="N313" s="1349"/>
      <c r="O313" s="1349"/>
      <c r="P313" s="1349"/>
      <c r="Q313" s="1349"/>
      <c r="R313" s="1349"/>
      <c r="S313" s="3"/>
      <c r="T313" s="3" t="s">
        <v>75</v>
      </c>
      <c r="V313" s="3"/>
      <c r="W313" s="3"/>
      <c r="X313" s="3"/>
      <c r="Y313" s="3"/>
      <c r="AA313" s="1458" t="s">
        <v>2666</v>
      </c>
      <c r="AB313" s="1349"/>
      <c r="AC313" s="1349"/>
      <c r="AD313" s="1349"/>
      <c r="AE313" s="1349"/>
      <c r="AF313" s="1349"/>
      <c r="AG313" s="1349"/>
      <c r="AH313" s="1349"/>
      <c r="AI313" s="1349"/>
      <c r="AJ313" s="1349"/>
      <c r="AK313" s="1349"/>
    </row>
    <row r="314" spans="2:37" ht="12.9" customHeight="1">
      <c r="B314" s="3" t="s">
        <v>87</v>
      </c>
      <c r="C314" s="3"/>
      <c r="D314" s="3"/>
      <c r="E314" s="3"/>
      <c r="F314" s="3"/>
      <c r="H314" s="1458" t="s">
        <v>2662</v>
      </c>
      <c r="I314" s="1349"/>
      <c r="J314" s="1349"/>
      <c r="K314" s="1349"/>
      <c r="L314" s="1349"/>
      <c r="M314" s="1349"/>
      <c r="N314" s="1349"/>
      <c r="O314" s="1349"/>
      <c r="P314" s="1349"/>
      <c r="Q314" s="1349"/>
      <c r="R314" s="1349"/>
      <c r="S314" s="3"/>
      <c r="T314" s="3" t="s">
        <v>87</v>
      </c>
      <c r="V314" s="3"/>
      <c r="W314" s="3"/>
      <c r="X314" s="3"/>
      <c r="Y314" s="3"/>
      <c r="AA314" s="1458" t="s">
        <v>2667</v>
      </c>
      <c r="AB314" s="1349"/>
      <c r="AC314" s="1349"/>
      <c r="AD314" s="1349"/>
      <c r="AE314" s="1349"/>
      <c r="AF314" s="1349"/>
      <c r="AG314" s="1349"/>
      <c r="AH314" s="1349"/>
      <c r="AI314" s="1349"/>
      <c r="AJ314" s="1349"/>
      <c r="AK314" s="1349"/>
    </row>
    <row r="315" spans="2:37" ht="12.9" customHeight="1">
      <c r="B315" s="3" t="s">
        <v>88</v>
      </c>
      <c r="C315" s="3"/>
      <c r="D315" s="3"/>
      <c r="E315" s="3"/>
      <c r="F315" s="3"/>
      <c r="G315" s="3"/>
      <c r="H315" s="1424">
        <v>9259497300</v>
      </c>
      <c r="I315" s="1424"/>
      <c r="J315" s="1424"/>
      <c r="K315" s="1424"/>
      <c r="L315" s="1424"/>
      <c r="M315" s="1424"/>
      <c r="N315" s="4" t="s">
        <v>206</v>
      </c>
      <c r="O315" s="4"/>
      <c r="P315" s="1418"/>
      <c r="Q315" s="1418"/>
      <c r="R315" s="1418"/>
      <c r="S315" s="3"/>
      <c r="T315" s="3" t="s">
        <v>88</v>
      </c>
      <c r="V315" s="3"/>
      <c r="W315" s="3"/>
      <c r="X315" s="3"/>
      <c r="Y315" s="3"/>
      <c r="AA315" s="1424">
        <v>2137878238</v>
      </c>
      <c r="AB315" s="1424"/>
      <c r="AC315" s="1424"/>
      <c r="AD315" s="1424"/>
      <c r="AE315" s="1424"/>
      <c r="AF315" s="1424"/>
      <c r="AG315" s="4" t="s">
        <v>206</v>
      </c>
      <c r="AH315" s="4"/>
      <c r="AI315" s="1418"/>
      <c r="AJ315" s="1418"/>
      <c r="AK315" s="1418"/>
    </row>
    <row r="316" spans="2:37" ht="12.9"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 customHeight="1">
      <c r="B317" s="3" t="s">
        <v>76</v>
      </c>
      <c r="C317" s="3"/>
      <c r="D317" s="3"/>
      <c r="E317" s="3"/>
      <c r="F317" s="3"/>
      <c r="G317" s="3"/>
      <c r="H317" s="1458" t="s">
        <v>2663</v>
      </c>
      <c r="I317" s="1349"/>
      <c r="J317" s="1349"/>
      <c r="K317" s="1349"/>
      <c r="L317" s="1349"/>
      <c r="M317" s="1349"/>
      <c r="N317" s="1372"/>
      <c r="O317" s="1372"/>
      <c r="P317" s="1372"/>
      <c r="Q317" s="1372"/>
      <c r="R317" s="1372"/>
      <c r="S317" s="3"/>
      <c r="T317" s="3" t="s">
        <v>76</v>
      </c>
      <c r="V317" s="3"/>
      <c r="W317" s="3"/>
      <c r="X317" s="3"/>
      <c r="Y317" s="3"/>
      <c r="AA317" s="1458" t="s">
        <v>2668</v>
      </c>
      <c r="AB317" s="1349"/>
      <c r="AC317" s="1349"/>
      <c r="AD317" s="1349"/>
      <c r="AE317" s="1349"/>
      <c r="AF317" s="1349"/>
      <c r="AG317" s="1372"/>
      <c r="AH317" s="1372"/>
      <c r="AI317" s="1372"/>
      <c r="AJ317" s="1372"/>
      <c r="AK317" s="1372"/>
    </row>
    <row r="318" spans="2:37" ht="12.9" customHeight="1"/>
    <row r="319" spans="2:37" ht="12.9" customHeight="1">
      <c r="B319" s="4" t="s">
        <v>909</v>
      </c>
      <c r="C319" s="3"/>
      <c r="D319" s="3"/>
      <c r="E319" s="3"/>
      <c r="F319" s="3"/>
      <c r="H319" s="1372"/>
      <c r="I319" s="1372"/>
      <c r="J319" s="1372"/>
      <c r="K319" s="1372"/>
      <c r="L319" s="1372"/>
      <c r="M319" s="1372"/>
      <c r="N319" s="1372"/>
      <c r="O319" s="1372"/>
      <c r="P319" s="1372"/>
      <c r="Q319" s="1372"/>
      <c r="R319" s="1372"/>
      <c r="T319" s="3" t="s">
        <v>366</v>
      </c>
      <c r="V319" s="3"/>
      <c r="W319" s="3"/>
      <c r="X319" s="3"/>
      <c r="Y319" s="3"/>
      <c r="AA319" s="1417" t="s">
        <v>2659</v>
      </c>
      <c r="AB319" s="1372"/>
      <c r="AC319" s="1372"/>
      <c r="AD319" s="1372"/>
      <c r="AE319" s="1372"/>
      <c r="AF319" s="1372"/>
      <c r="AG319" s="1372"/>
      <c r="AH319" s="1372"/>
      <c r="AI319" s="1372"/>
      <c r="AJ319" s="1372"/>
      <c r="AK319" s="1372"/>
    </row>
    <row r="320" spans="2:37" ht="12.9"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458" t="s">
        <v>2669</v>
      </c>
      <c r="AB320" s="1349"/>
      <c r="AC320" s="1349"/>
      <c r="AD320" s="1349"/>
      <c r="AE320" s="1349"/>
      <c r="AF320" s="1349"/>
      <c r="AG320" s="1349"/>
      <c r="AH320" s="1349"/>
      <c r="AI320" s="1349"/>
      <c r="AJ320" s="1349"/>
      <c r="AK320" s="1349"/>
    </row>
    <row r="321" spans="2:37" ht="12.9"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458" t="s">
        <v>2670</v>
      </c>
      <c r="AB321" s="1349"/>
      <c r="AC321" s="1349"/>
      <c r="AD321" s="1349"/>
      <c r="AE321" s="1349"/>
      <c r="AF321" s="1349"/>
      <c r="AG321" s="1349"/>
      <c r="AH321" s="1349"/>
      <c r="AI321" s="1349"/>
      <c r="AJ321" s="1349"/>
      <c r="AK321" s="1349"/>
    </row>
    <row r="322" spans="2:37" ht="12.9"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58" t="s">
        <v>2671</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424">
        <v>5123493212</v>
      </c>
      <c r="AB323" s="1424"/>
      <c r="AC323" s="1424"/>
      <c r="AD323" s="1424"/>
      <c r="AE323" s="1424"/>
      <c r="AF323" s="1424"/>
      <c r="AG323" s="4" t="s">
        <v>206</v>
      </c>
      <c r="AH323" s="4"/>
      <c r="AI323" s="1418"/>
      <c r="AJ323" s="1418"/>
      <c r="AK323" s="1418"/>
    </row>
    <row r="324" spans="2:37" ht="12.9"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458" t="s">
        <v>2672</v>
      </c>
      <c r="AB325" s="1349"/>
      <c r="AC325" s="1349"/>
      <c r="AD325" s="1349"/>
      <c r="AE325" s="1349"/>
      <c r="AF325" s="1349"/>
      <c r="AG325" s="1372"/>
      <c r="AH325" s="1372"/>
      <c r="AI325" s="1372"/>
      <c r="AJ325" s="1372"/>
      <c r="AK325" s="1372"/>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17" t="s">
        <v>2659</v>
      </c>
      <c r="I327" s="1372"/>
      <c r="J327" s="1372"/>
      <c r="K327" s="1372"/>
      <c r="L327" s="1372"/>
      <c r="M327" s="1372"/>
      <c r="N327" s="1372"/>
      <c r="O327" s="1372"/>
      <c r="P327" s="1372"/>
      <c r="Q327" s="1372"/>
      <c r="R327" s="1372"/>
      <c r="T327" s="3" t="s">
        <v>368</v>
      </c>
      <c r="V327" s="3"/>
      <c r="W327" s="3"/>
      <c r="X327" s="3"/>
      <c r="Y327" s="3"/>
      <c r="AA327" s="1417" t="s">
        <v>2678</v>
      </c>
      <c r="AB327" s="1372"/>
      <c r="AC327" s="1372"/>
      <c r="AD327" s="1372"/>
      <c r="AE327" s="1372"/>
      <c r="AF327" s="1372"/>
      <c r="AG327" s="1372"/>
      <c r="AH327" s="1372"/>
      <c r="AI327" s="1372"/>
      <c r="AJ327" s="1372"/>
      <c r="AK327" s="1372"/>
    </row>
    <row r="328" spans="2:37" ht="12.9" customHeight="1">
      <c r="B328" s="3" t="s">
        <v>472</v>
      </c>
      <c r="C328" s="3"/>
      <c r="D328" s="3"/>
      <c r="E328" s="3"/>
      <c r="F328" s="3"/>
      <c r="H328" s="1458" t="s">
        <v>2669</v>
      </c>
      <c r="I328" s="1349"/>
      <c r="J328" s="1349"/>
      <c r="K328" s="1349"/>
      <c r="L328" s="1349"/>
      <c r="M328" s="1349"/>
      <c r="N328" s="1349"/>
      <c r="O328" s="1349"/>
      <c r="P328" s="1349"/>
      <c r="Q328" s="1349"/>
      <c r="R328" s="1349"/>
      <c r="T328" s="3" t="s">
        <v>472</v>
      </c>
      <c r="V328" s="3"/>
      <c r="W328" s="3"/>
      <c r="X328" s="3"/>
      <c r="Y328" s="3"/>
      <c r="AA328" s="1458" t="s">
        <v>2679</v>
      </c>
      <c r="AB328" s="1349"/>
      <c r="AC328" s="1349"/>
      <c r="AD328" s="1349"/>
      <c r="AE328" s="1349"/>
      <c r="AF328" s="1349"/>
      <c r="AG328" s="1349"/>
      <c r="AH328" s="1349"/>
      <c r="AI328" s="1349"/>
      <c r="AJ328" s="1349"/>
      <c r="AK328" s="1349"/>
    </row>
    <row r="329" spans="2:37" ht="12.9" customHeight="1">
      <c r="B329" s="3" t="s">
        <v>473</v>
      </c>
      <c r="C329" s="3"/>
      <c r="D329" s="3"/>
      <c r="E329" s="3"/>
      <c r="F329" s="3"/>
      <c r="H329" s="1458" t="s">
        <v>2670</v>
      </c>
      <c r="I329" s="1349"/>
      <c r="J329" s="1349"/>
      <c r="K329" s="1349"/>
      <c r="L329" s="1349"/>
      <c r="M329" s="1349"/>
      <c r="N329" s="1349"/>
      <c r="O329" s="1349"/>
      <c r="P329" s="1349"/>
      <c r="Q329" s="1349"/>
      <c r="R329" s="1349"/>
      <c r="T329" s="3" t="s">
        <v>75</v>
      </c>
      <c r="V329" s="3"/>
      <c r="W329" s="3"/>
      <c r="X329" s="3"/>
      <c r="Y329" s="3"/>
      <c r="AA329" s="1458" t="s">
        <v>2680</v>
      </c>
      <c r="AB329" s="1349"/>
      <c r="AC329" s="1349"/>
      <c r="AD329" s="1349"/>
      <c r="AE329" s="1349"/>
      <c r="AF329" s="1349"/>
      <c r="AG329" s="1349"/>
      <c r="AH329" s="1349"/>
      <c r="AI329" s="1349"/>
      <c r="AJ329" s="1349"/>
      <c r="AK329" s="1349"/>
    </row>
    <row r="330" spans="2:37" ht="12.9" customHeight="1">
      <c r="B330" s="3" t="s">
        <v>87</v>
      </c>
      <c r="C330" s="3"/>
      <c r="D330" s="3"/>
      <c r="E330" s="3"/>
      <c r="F330" s="3"/>
      <c r="H330" s="1458" t="s">
        <v>2671</v>
      </c>
      <c r="I330" s="1349"/>
      <c r="J330" s="1349"/>
      <c r="K330" s="1349"/>
      <c r="L330" s="1349"/>
      <c r="M330" s="1349"/>
      <c r="N330" s="1349"/>
      <c r="O330" s="1349"/>
      <c r="P330" s="1349"/>
      <c r="Q330" s="1349"/>
      <c r="R330" s="1349"/>
      <c r="T330" s="3" t="s">
        <v>87</v>
      </c>
      <c r="V330" s="3"/>
      <c r="W330" s="3"/>
      <c r="X330" s="3"/>
      <c r="Y330" s="3"/>
      <c r="AA330" s="1458" t="s">
        <v>2681</v>
      </c>
      <c r="AB330" s="1349"/>
      <c r="AC330" s="1349"/>
      <c r="AD330" s="1349"/>
      <c r="AE330" s="1349"/>
      <c r="AF330" s="1349"/>
      <c r="AG330" s="1349"/>
      <c r="AH330" s="1349"/>
      <c r="AI330" s="1349"/>
      <c r="AJ330" s="1349"/>
      <c r="AK330" s="1349"/>
    </row>
    <row r="331" spans="2:37" ht="12.9" customHeight="1">
      <c r="B331" s="3" t="s">
        <v>88</v>
      </c>
      <c r="C331" s="3"/>
      <c r="D331" s="3"/>
      <c r="E331" s="3"/>
      <c r="F331" s="3"/>
      <c r="G331" s="3"/>
      <c r="H331" s="1424">
        <v>5123493212</v>
      </c>
      <c r="I331" s="1424"/>
      <c r="J331" s="1424"/>
      <c r="K331" s="1424"/>
      <c r="L331" s="1424"/>
      <c r="M331" s="1424"/>
      <c r="N331" s="4" t="s">
        <v>206</v>
      </c>
      <c r="O331" s="4"/>
      <c r="P331" s="1418"/>
      <c r="Q331" s="1418"/>
      <c r="R331" s="1418"/>
      <c r="S331" s="3"/>
      <c r="T331" s="3" t="s">
        <v>88</v>
      </c>
      <c r="V331" s="3"/>
      <c r="W331" s="3"/>
      <c r="X331" s="3"/>
      <c r="Y331" s="3"/>
      <c r="AA331" s="1424">
        <v>4432582261</v>
      </c>
      <c r="AB331" s="1424"/>
      <c r="AC331" s="1424"/>
      <c r="AD331" s="1424"/>
      <c r="AE331" s="1424"/>
      <c r="AF331" s="1424"/>
      <c r="AG331" s="4" t="s">
        <v>206</v>
      </c>
      <c r="AH331" s="4"/>
      <c r="AI331" s="1418"/>
      <c r="AJ331" s="1418"/>
      <c r="AK331" s="1418"/>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 customHeight="1">
      <c r="B333" s="3" t="s">
        <v>76</v>
      </c>
      <c r="C333" s="3"/>
      <c r="D333" s="3"/>
      <c r="E333" s="3"/>
      <c r="F333" s="3"/>
      <c r="G333" s="3"/>
      <c r="H333" s="1458" t="s">
        <v>2672</v>
      </c>
      <c r="I333" s="1349"/>
      <c r="J333" s="1349"/>
      <c r="K333" s="1349"/>
      <c r="L333" s="1349"/>
      <c r="M333" s="1349"/>
      <c r="N333" s="1372"/>
      <c r="O333" s="1372"/>
      <c r="P333" s="1372"/>
      <c r="Q333" s="1372"/>
      <c r="R333" s="1372"/>
      <c r="S333" s="3"/>
      <c r="T333" s="3" t="s">
        <v>76</v>
      </c>
      <c r="V333" s="3"/>
      <c r="W333" s="3"/>
      <c r="X333" s="3"/>
      <c r="Y333" s="3"/>
      <c r="AA333" s="1458" t="s">
        <v>2682</v>
      </c>
      <c r="AB333" s="1349"/>
      <c r="AC333" s="1349"/>
      <c r="AD333" s="1349"/>
      <c r="AE333" s="1349"/>
      <c r="AF333" s="1349"/>
      <c r="AG333" s="1372"/>
      <c r="AH333" s="1372"/>
      <c r="AI333" s="1372"/>
      <c r="AJ333" s="1372"/>
      <c r="AK333" s="1372"/>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17" t="s">
        <v>876</v>
      </c>
      <c r="I335" s="1372"/>
      <c r="J335" s="1372"/>
      <c r="K335" s="1372"/>
      <c r="L335" s="1372"/>
      <c r="M335" s="1372"/>
      <c r="N335" s="1372"/>
      <c r="O335" s="1372"/>
      <c r="P335" s="1372"/>
      <c r="Q335" s="1372"/>
      <c r="R335" s="1372"/>
      <c r="T335" s="204" t="s">
        <v>887</v>
      </c>
      <c r="V335" s="3"/>
      <c r="W335" s="3"/>
      <c r="X335" s="3"/>
      <c r="Y335" s="3"/>
      <c r="AA335" s="1417" t="s">
        <v>2673</v>
      </c>
      <c r="AB335" s="1372"/>
      <c r="AC335" s="1372"/>
      <c r="AD335" s="1372"/>
      <c r="AE335" s="1372"/>
      <c r="AF335" s="1372"/>
      <c r="AG335" s="1372"/>
      <c r="AH335" s="1372"/>
      <c r="AI335" s="1372"/>
      <c r="AJ335" s="1372"/>
      <c r="AK335" s="1372"/>
    </row>
    <row r="336" spans="2:37" ht="12.9" customHeight="1">
      <c r="B336" s="3" t="s">
        <v>472</v>
      </c>
      <c r="C336" s="3"/>
      <c r="D336" s="3"/>
      <c r="E336" s="3"/>
      <c r="F336" s="3"/>
      <c r="H336" s="1458" t="s">
        <v>2734</v>
      </c>
      <c r="I336" s="1349"/>
      <c r="J336" s="1349"/>
      <c r="K336" s="1349"/>
      <c r="L336" s="1349"/>
      <c r="M336" s="1349"/>
      <c r="N336" s="1349"/>
      <c r="O336" s="1349"/>
      <c r="P336" s="1349"/>
      <c r="Q336" s="1349"/>
      <c r="R336" s="1349"/>
      <c r="T336" s="3" t="s">
        <v>472</v>
      </c>
      <c r="V336" s="3"/>
      <c r="W336" s="3"/>
      <c r="X336" s="3"/>
      <c r="Y336" s="3"/>
      <c r="AA336" s="1458" t="s">
        <v>2674</v>
      </c>
      <c r="AB336" s="1349"/>
      <c r="AC336" s="1349"/>
      <c r="AD336" s="1349"/>
      <c r="AE336" s="1349"/>
      <c r="AF336" s="1349"/>
      <c r="AG336" s="1349"/>
      <c r="AH336" s="1349"/>
      <c r="AI336" s="1349"/>
      <c r="AJ336" s="1349"/>
      <c r="AK336" s="1349"/>
    </row>
    <row r="337" spans="1:66" ht="12.9" customHeight="1">
      <c r="B337" s="3" t="s">
        <v>75</v>
      </c>
      <c r="C337" s="3"/>
      <c r="D337" s="3"/>
      <c r="E337" s="3"/>
      <c r="F337" s="3"/>
      <c r="H337" s="1458" t="s">
        <v>2735</v>
      </c>
      <c r="I337" s="1349"/>
      <c r="J337" s="1349"/>
      <c r="K337" s="1349"/>
      <c r="L337" s="1349"/>
      <c r="M337" s="1349"/>
      <c r="N337" s="1349"/>
      <c r="O337" s="1349"/>
      <c r="P337" s="1349"/>
      <c r="Q337" s="1349"/>
      <c r="R337" s="1349"/>
      <c r="T337" s="3" t="s">
        <v>75</v>
      </c>
      <c r="V337" s="3"/>
      <c r="W337" s="3"/>
      <c r="X337" s="3"/>
      <c r="Y337" s="3"/>
      <c r="AA337" s="1458" t="s">
        <v>2675</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458" t="s">
        <v>2683</v>
      </c>
      <c r="I338" s="1349"/>
      <c r="J338" s="1349"/>
      <c r="K338" s="1349"/>
      <c r="L338" s="1349"/>
      <c r="M338" s="1349"/>
      <c r="N338" s="1349"/>
      <c r="O338" s="1349"/>
      <c r="P338" s="1349"/>
      <c r="Q338" s="1349"/>
      <c r="R338" s="1349"/>
      <c r="T338" s="3" t="s">
        <v>87</v>
      </c>
      <c r="V338" s="3"/>
      <c r="W338" s="3"/>
      <c r="X338" s="3"/>
      <c r="Y338" s="3"/>
      <c r="AA338" s="1458" t="s">
        <v>2676</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424">
        <v>2138088966</v>
      </c>
      <c r="I339" s="1424"/>
      <c r="J339" s="1424"/>
      <c r="K339" s="1424"/>
      <c r="L339" s="1424"/>
      <c r="M339" s="1424"/>
      <c r="N339" s="4" t="s">
        <v>206</v>
      </c>
      <c r="O339" s="4"/>
      <c r="P339" s="1418"/>
      <c r="Q339" s="1418"/>
      <c r="R339" s="1418"/>
      <c r="S339" s="3"/>
      <c r="T339" s="3" t="s">
        <v>88</v>
      </c>
      <c r="V339" s="3"/>
      <c r="W339" s="3"/>
      <c r="X339" s="3"/>
      <c r="Y339" s="3"/>
      <c r="AA339" s="1424">
        <v>3232311104</v>
      </c>
      <c r="AB339" s="1424"/>
      <c r="AC339" s="1424"/>
      <c r="AD339" s="1424"/>
      <c r="AE339" s="1424"/>
      <c r="AF339" s="1424"/>
      <c r="AG339" s="4" t="s">
        <v>206</v>
      </c>
      <c r="AH339" s="4"/>
      <c r="AI339" s="1418"/>
      <c r="AJ339" s="1418"/>
      <c r="AK339" s="1418"/>
    </row>
    <row r="340" spans="1:66" ht="12.9"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v>3232320094</v>
      </c>
      <c r="AB340" s="1347"/>
      <c r="AC340" s="1347"/>
      <c r="AD340" s="1347"/>
      <c r="AE340" s="1347"/>
      <c r="AF340" s="1347"/>
      <c r="AG340" s="4"/>
      <c r="AH340" s="4"/>
      <c r="AI340" s="35"/>
      <c r="AJ340" s="35"/>
      <c r="AK340" s="35"/>
    </row>
    <row r="341" spans="1:66" ht="12.9" customHeight="1">
      <c r="B341" s="3" t="s">
        <v>76</v>
      </c>
      <c r="C341" s="3"/>
      <c r="D341" s="3"/>
      <c r="E341" s="3"/>
      <c r="F341" s="3"/>
      <c r="G341" s="3"/>
      <c r="H341" s="1458" t="s">
        <v>2684</v>
      </c>
      <c r="I341" s="1349"/>
      <c r="J341" s="1349"/>
      <c r="K341" s="1349"/>
      <c r="L341" s="1349"/>
      <c r="M341" s="1349"/>
      <c r="N341" s="1372"/>
      <c r="O341" s="1372"/>
      <c r="P341" s="1372"/>
      <c r="Q341" s="1372"/>
      <c r="R341" s="1372"/>
      <c r="S341" s="3"/>
      <c r="T341" s="3" t="s">
        <v>76</v>
      </c>
      <c r="V341" s="3"/>
      <c r="W341" s="3"/>
      <c r="X341" s="3"/>
      <c r="Y341" s="3"/>
      <c r="AA341" s="1458" t="s">
        <v>2677</v>
      </c>
      <c r="AB341" s="1349"/>
      <c r="AC341" s="1349"/>
      <c r="AD341" s="1349"/>
      <c r="AE341" s="1349"/>
      <c r="AF341" s="1349"/>
      <c r="AG341" s="1372"/>
      <c r="AH341" s="1372"/>
      <c r="AI341" s="1372"/>
      <c r="AJ341" s="1372"/>
      <c r="AK341" s="137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 customHeight="1">
      <c r="T350" s="8"/>
      <c r="U350" s="8"/>
      <c r="V350" s="8"/>
      <c r="W350" s="8"/>
      <c r="X350" s="8"/>
      <c r="Y350" s="8"/>
      <c r="Z350" s="8"/>
      <c r="AU350" s="95"/>
      <c r="AV350" s="95"/>
      <c r="AW350" s="95"/>
      <c r="AX350" s="95"/>
      <c r="AY350" s="95"/>
    </row>
    <row r="351" spans="1:66" ht="12.9"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2099</v>
      </c>
      <c r="M355" s="1332" t="s">
        <v>592</v>
      </c>
      <c r="N355" s="1332"/>
      <c r="P355" t="s">
        <v>1651</v>
      </c>
      <c r="AJ355" s="1332" t="s">
        <v>670</v>
      </c>
      <c r="AK355" s="1332"/>
    </row>
    <row r="356" spans="1:46" ht="12.9" customHeight="1">
      <c r="D356" s="3" t="s">
        <v>1640</v>
      </c>
      <c r="M356" s="1332" t="s">
        <v>592</v>
      </c>
      <c r="N356" s="1332"/>
      <c r="P356" s="3" t="s">
        <v>1720</v>
      </c>
      <c r="AJ356" s="1447"/>
      <c r="AK356" s="1447"/>
    </row>
    <row r="357" spans="1:46" ht="12.9" customHeight="1">
      <c r="D357" s="3" t="s">
        <v>705</v>
      </c>
      <c r="M357" s="1332" t="s">
        <v>592</v>
      </c>
      <c r="N357" s="1332"/>
      <c r="P357" t="s">
        <v>1650</v>
      </c>
      <c r="AJ357" s="1332" t="s">
        <v>546</v>
      </c>
      <c r="AK357" s="1332"/>
    </row>
    <row r="358" spans="1:46" ht="12.9" customHeight="1">
      <c r="D358" s="3" t="s">
        <v>706</v>
      </c>
      <c r="M358" s="1332" t="s">
        <v>546</v>
      </c>
      <c r="N358" s="1332"/>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2" t="s">
        <v>670</v>
      </c>
      <c r="O363" s="1332"/>
      <c r="P363" s="40"/>
      <c r="Q363" s="40"/>
      <c r="R363" s="40"/>
      <c r="S363" s="40"/>
      <c r="T363" s="40"/>
      <c r="U363" s="40"/>
      <c r="V363" s="40"/>
      <c r="W363" s="40"/>
      <c r="X363" s="40"/>
      <c r="Y363" s="40"/>
      <c r="Z363" s="40"/>
      <c r="AC363" s="40"/>
      <c r="AD363" s="40"/>
      <c r="AE363" s="40"/>
    </row>
    <row r="364" spans="1:46" ht="12.9" customHeight="1">
      <c r="E364" t="s">
        <v>370</v>
      </c>
      <c r="Y364" s="1332" t="s">
        <v>546</v>
      </c>
      <c r="Z364" s="1332"/>
    </row>
    <row r="365" spans="1:46" ht="12.9" customHeight="1">
      <c r="D365" s="4" t="s">
        <v>979</v>
      </c>
      <c r="Q365" s="1372" t="s">
        <v>2685</v>
      </c>
      <c r="R365" s="1372"/>
      <c r="S365" s="1372"/>
      <c r="T365" s="1372"/>
      <c r="U365" s="1372"/>
      <c r="V365" s="1372"/>
      <c r="W365" s="1372"/>
      <c r="X365" s="1372"/>
      <c r="Y365" s="1372"/>
      <c r="Z365" s="1372"/>
      <c r="AA365" s="1372"/>
      <c r="AB365" s="1372"/>
      <c r="AC365" s="1372"/>
      <c r="AD365" s="1372"/>
      <c r="AE365" s="1372"/>
      <c r="AF365" s="1372"/>
      <c r="AG365" s="137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2" t="s">
        <v>670</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 customHeight="1">
      <c r="E370" s="4" t="s">
        <v>449</v>
      </c>
      <c r="F370" s="4"/>
      <c r="G370" s="4"/>
      <c r="H370" s="4"/>
      <c r="I370" s="4"/>
      <c r="J370" s="4"/>
      <c r="K370" s="4"/>
      <c r="L370" s="4"/>
      <c r="N370" s="1663">
        <v>96</v>
      </c>
      <c r="O370" s="1663"/>
      <c r="P370" s="1663"/>
      <c r="Q370" s="1663"/>
      <c r="R370" s="4"/>
      <c r="U370" s="4" t="s">
        <v>450</v>
      </c>
      <c r="V370" s="4"/>
      <c r="W370" s="4"/>
      <c r="X370" s="4"/>
      <c r="Y370" s="4"/>
      <c r="Z370" s="4"/>
      <c r="AA370" s="4"/>
      <c r="AB370" s="4"/>
      <c r="AC370" s="1663">
        <v>5</v>
      </c>
      <c r="AD370" s="1663"/>
      <c r="AE370" s="1663"/>
      <c r="AF370" s="1663"/>
    </row>
    <row r="371" spans="1:34" ht="12.9" customHeight="1">
      <c r="E371" s="4" t="s">
        <v>451</v>
      </c>
      <c r="F371" s="4"/>
      <c r="G371" s="4"/>
      <c r="H371" s="4"/>
      <c r="I371" s="4"/>
      <c r="J371" s="4"/>
      <c r="K371" s="4"/>
      <c r="L371" s="4"/>
      <c r="N371" s="1663">
        <v>5</v>
      </c>
      <c r="O371" s="1663"/>
      <c r="P371" s="1663"/>
      <c r="Q371" s="1663"/>
      <c r="R371" s="4"/>
      <c r="U371" s="4" t="s">
        <v>0</v>
      </c>
      <c r="V371" s="4"/>
      <c r="W371" s="4"/>
      <c r="X371" s="4"/>
      <c r="Y371" s="4"/>
      <c r="Z371" s="4"/>
      <c r="AA371" s="4"/>
      <c r="AB371" s="4"/>
      <c r="AC371" s="1663">
        <v>96</v>
      </c>
      <c r="AD371" s="1663"/>
      <c r="AE371" s="1663"/>
      <c r="AF371" s="1663"/>
    </row>
    <row r="372" spans="1:34" ht="12.9" customHeight="1">
      <c r="E372" s="4" t="s">
        <v>1</v>
      </c>
      <c r="F372" s="4"/>
      <c r="G372" s="4"/>
      <c r="H372" s="4"/>
      <c r="I372" s="4"/>
      <c r="J372" s="4"/>
      <c r="K372" s="4"/>
      <c r="L372" s="4"/>
      <c r="N372" s="1833" t="s">
        <v>2686</v>
      </c>
      <c r="O372" s="1663"/>
      <c r="P372" s="1663"/>
      <c r="Q372" s="1663"/>
      <c r="R372" s="4"/>
      <c r="V372" s="4"/>
      <c r="W372" s="4"/>
      <c r="X372" s="4"/>
      <c r="Y372" s="4"/>
      <c r="Z372" s="4"/>
      <c r="AA372" s="4"/>
      <c r="AB372" s="4"/>
    </row>
    <row r="373" spans="1:34" ht="12.9" customHeight="1">
      <c r="E373" s="4" t="s">
        <v>2</v>
      </c>
      <c r="F373" s="4"/>
      <c r="G373" s="4"/>
      <c r="H373" s="4"/>
      <c r="I373" s="4"/>
      <c r="J373" s="4"/>
      <c r="K373" s="4"/>
      <c r="L373" s="4"/>
      <c r="N373" s="1814" t="s">
        <v>2687</v>
      </c>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 customHeight="1">
      <c r="C375" s="512"/>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817">
        <v>2007</v>
      </c>
      <c r="T377" s="1817"/>
      <c r="U377" s="1" t="s">
        <v>306</v>
      </c>
      <c r="V377" s="1817">
        <v>805</v>
      </c>
      <c r="W377" s="1817"/>
      <c r="Y377" t="s">
        <v>2080</v>
      </c>
      <c r="AC377" s="27" t="s">
        <v>305</v>
      </c>
      <c r="AD377" s="1817">
        <v>2007</v>
      </c>
      <c r="AE377" s="1817"/>
      <c r="AF377" s="1" t="s">
        <v>306</v>
      </c>
      <c r="AG377" s="1817">
        <v>805</v>
      </c>
      <c r="AH377" s="1817"/>
    </row>
    <row r="378" spans="1:34" ht="12.9" customHeight="1">
      <c r="E378" s="4" t="s">
        <v>988</v>
      </c>
      <c r="F378" s="4"/>
      <c r="G378" s="4"/>
      <c r="H378" s="4"/>
      <c r="I378" s="4"/>
      <c r="J378" s="4"/>
      <c r="K378" s="4"/>
      <c r="L378" s="4"/>
      <c r="N378" s="1817">
        <v>2008</v>
      </c>
      <c r="O378" s="1817"/>
      <c r="P378" s="1817"/>
    </row>
    <row r="379" spans="1:34" ht="12.9" customHeight="1">
      <c r="E379" s="204" t="s">
        <v>2086</v>
      </c>
      <c r="F379" s="4"/>
      <c r="G379" s="4"/>
      <c r="H379" s="4"/>
      <c r="I379" s="4"/>
      <c r="J379" s="4"/>
      <c r="K379" s="4"/>
      <c r="L379" s="4"/>
      <c r="AG379" s="1805" t="s">
        <v>546</v>
      </c>
      <c r="AH379" s="1805"/>
    </row>
    <row r="380" spans="1:34" ht="12.9" customHeight="1">
      <c r="E380" s="4"/>
      <c r="F380" s="4"/>
      <c r="G380" s="4" t="s">
        <v>2087</v>
      </c>
      <c r="H380" s="4"/>
      <c r="I380" s="4"/>
      <c r="J380" s="4"/>
      <c r="K380" s="4"/>
      <c r="L380" s="4"/>
      <c r="AG380" s="1805" t="s">
        <v>592</v>
      </c>
      <c r="AH380" s="1805"/>
    </row>
    <row r="381" spans="1:34" ht="12.9" customHeight="1">
      <c r="E381" s="4"/>
      <c r="F381" s="4"/>
      <c r="G381" s="320" t="s">
        <v>989</v>
      </c>
      <c r="H381" s="4"/>
      <c r="I381" s="4"/>
      <c r="J381" s="4"/>
      <c r="K381" s="4"/>
      <c r="L381" s="4"/>
      <c r="V381" s="1332" t="s">
        <v>592</v>
      </c>
      <c r="W381" s="1332"/>
      <c r="Y381" s="22" t="s">
        <v>981</v>
      </c>
    </row>
    <row r="382" spans="1:34" ht="12.9" customHeight="1">
      <c r="E382" s="4" t="s">
        <v>982</v>
      </c>
      <c r="F382" s="4"/>
      <c r="G382" s="4"/>
      <c r="H382" s="4"/>
      <c r="I382" s="4"/>
      <c r="J382" s="4"/>
      <c r="K382" s="4"/>
      <c r="L382" s="4"/>
      <c r="V382" s="1332" t="s">
        <v>592</v>
      </c>
      <c r="W382" s="1332"/>
      <c r="Y382" s="4" t="s">
        <v>983</v>
      </c>
    </row>
    <row r="383" spans="1:34" ht="12.9" customHeight="1"/>
    <row r="384" spans="1:34" ht="12.9" customHeight="1">
      <c r="A384" s="2" t="s">
        <v>78</v>
      </c>
      <c r="B384" s="2"/>
    </row>
    <row r="385" spans="4:36" ht="12.9" customHeight="1">
      <c r="D385" t="s">
        <v>428</v>
      </c>
      <c r="J385" s="1417" t="s">
        <v>2613</v>
      </c>
      <c r="K385" s="1372"/>
      <c r="L385" s="1372"/>
      <c r="M385" s="1372"/>
      <c r="N385" s="1372"/>
      <c r="O385" s="1372"/>
      <c r="P385" s="1372"/>
      <c r="Q385" s="1372"/>
      <c r="R385" s="1372"/>
      <c r="S385" s="1372"/>
      <c r="T385" s="1372"/>
      <c r="U385" s="1372"/>
      <c r="V385" s="8" t="s">
        <v>83</v>
      </c>
      <c r="W385" s="8"/>
      <c r="X385" s="8"/>
      <c r="Y385" s="8"/>
      <c r="Z385" s="8"/>
      <c r="AA385" s="8"/>
      <c r="AB385" s="8"/>
      <c r="AC385" s="1417" t="s">
        <v>2688</v>
      </c>
      <c r="AD385" s="1372"/>
      <c r="AE385" s="1372"/>
      <c r="AF385" s="1372"/>
      <c r="AG385" s="1372"/>
      <c r="AH385" s="1372"/>
      <c r="AI385" s="1372"/>
      <c r="AJ385" s="1372"/>
    </row>
    <row r="386" spans="4:36" ht="12.9" customHeight="1">
      <c r="D386" s="3" t="s">
        <v>1183</v>
      </c>
      <c r="J386" s="1458" t="s">
        <v>2688</v>
      </c>
      <c r="K386" s="1349"/>
      <c r="L386" s="1349"/>
      <c r="M386" s="1349"/>
      <c r="N386" s="1349"/>
      <c r="O386" s="1349"/>
      <c r="P386" s="1349"/>
      <c r="Q386" s="1349"/>
      <c r="R386" s="1349"/>
      <c r="S386" s="1349"/>
      <c r="T386" s="1349"/>
      <c r="U386" s="1349"/>
      <c r="V386" s="3" t="s">
        <v>1183</v>
      </c>
      <c r="W386" s="8"/>
      <c r="X386" s="8"/>
      <c r="Y386" s="8"/>
      <c r="Z386" s="8"/>
      <c r="AA386" s="8"/>
      <c r="AB386" s="8"/>
      <c r="AC386" s="1417"/>
      <c r="AD386" s="1372"/>
      <c r="AE386" s="1372"/>
      <c r="AF386" s="1372"/>
      <c r="AG386" s="1372"/>
      <c r="AH386" s="1372"/>
      <c r="AI386" s="1372"/>
      <c r="AJ386" s="1372"/>
    </row>
    <row r="387" spans="4:36" ht="12.9" customHeight="1">
      <c r="D387" s="3" t="s">
        <v>442</v>
      </c>
      <c r="J387" s="1458" t="s">
        <v>2689</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 customHeight="1">
      <c r="D388" t="s">
        <v>1179</v>
      </c>
      <c r="J388" s="1826" t="s">
        <v>2690</v>
      </c>
      <c r="K388" s="1403"/>
      <c r="L388" s="1403"/>
      <c r="M388" s="1403"/>
      <c r="N388" s="1403"/>
      <c r="O388" s="1403"/>
      <c r="P388" s="1403"/>
      <c r="Q388" s="1403"/>
      <c r="R388" s="1403"/>
      <c r="S388" s="1403"/>
      <c r="T388" s="1403"/>
      <c r="U388" s="1403"/>
      <c r="V388" s="1417" t="s">
        <v>2638</v>
      </c>
      <c r="W388" s="1372"/>
      <c r="X388" s="1372"/>
      <c r="Y388" s="1372"/>
      <c r="Z388" s="1372"/>
      <c r="AA388" s="1372"/>
      <c r="AB388" s="1372"/>
      <c r="AC388" s="1372"/>
      <c r="AD388" s="1372"/>
      <c r="AE388" s="1372"/>
      <c r="AF388" s="1372"/>
      <c r="AG388" s="1372"/>
      <c r="AH388" s="1372"/>
      <c r="AI388" s="1372"/>
      <c r="AJ388" s="1372"/>
    </row>
    <row r="389" spans="4:36" ht="12.9" customHeight="1">
      <c r="D389" t="s">
        <v>4</v>
      </c>
      <c r="Q389" s="1752">
        <v>45881</v>
      </c>
      <c r="R389" s="1752"/>
      <c r="S389" s="1752"/>
      <c r="T389" s="1752"/>
      <c r="U389" s="1752"/>
      <c r="V389" t="s">
        <v>309</v>
      </c>
      <c r="AI389" s="1332" t="s">
        <v>546</v>
      </c>
      <c r="AJ389" s="1332"/>
    </row>
    <row r="390" spans="4:36" ht="12.9" customHeight="1">
      <c r="D390" t="s">
        <v>5</v>
      </c>
      <c r="Q390" s="1535" t="s">
        <v>2727</v>
      </c>
      <c r="R390" s="1821"/>
      <c r="S390" s="1821"/>
      <c r="T390" s="1821"/>
      <c r="U390" s="1821"/>
      <c r="W390" s="21" t="s">
        <v>74</v>
      </c>
      <c r="AG390" s="1819">
        <v>0</v>
      </c>
      <c r="AH390" s="1819"/>
      <c r="AI390" s="1819"/>
      <c r="AJ390" s="1819"/>
    </row>
    <row r="391" spans="4:36" ht="12.9" customHeight="1">
      <c r="D391" t="s">
        <v>427</v>
      </c>
      <c r="Q391" s="1832">
        <v>21200000</v>
      </c>
      <c r="R391" s="1832"/>
      <c r="S391" s="1832"/>
      <c r="T391" s="1832"/>
      <c r="U391" s="1832"/>
      <c r="V391" s="3" t="s">
        <v>1182</v>
      </c>
      <c r="AG391" s="1820">
        <v>46054</v>
      </c>
      <c r="AH391" s="1820"/>
      <c r="AI391" s="1820"/>
      <c r="AJ391" s="1820"/>
    </row>
    <row r="392" spans="4:36" ht="12.9" customHeight="1">
      <c r="D392" t="s">
        <v>88</v>
      </c>
      <c r="I392" s="1424">
        <v>4243694570</v>
      </c>
      <c r="J392" s="1424"/>
      <c r="K392" s="1424"/>
      <c r="L392" s="1424"/>
      <c r="M392" s="1424"/>
      <c r="N392" s="1424"/>
      <c r="Q392" s="4" t="s">
        <v>206</v>
      </c>
      <c r="S392" s="1830" t="s">
        <v>2727</v>
      </c>
      <c r="T392" s="1831"/>
      <c r="U392" s="1831"/>
      <c r="V392" t="s">
        <v>73</v>
      </c>
      <c r="AI392" s="1332" t="s">
        <v>670</v>
      </c>
      <c r="AJ392" s="1332"/>
    </row>
    <row r="393" spans="4:36" ht="12.9" customHeight="1">
      <c r="D393" t="s">
        <v>310</v>
      </c>
      <c r="Q393" s="1409">
        <v>0</v>
      </c>
      <c r="R393" s="1409"/>
      <c r="S393" s="1409"/>
      <c r="T393" s="1409"/>
      <c r="U393" s="1409"/>
      <c r="V393" t="s">
        <v>311</v>
      </c>
      <c r="AG393" s="1819">
        <v>0</v>
      </c>
      <c r="AH393" s="1819"/>
      <c r="AI393" s="1819"/>
      <c r="AJ393" s="1819"/>
    </row>
    <row r="394" spans="4:36" ht="12.9" customHeight="1">
      <c r="D394" t="s">
        <v>312</v>
      </c>
      <c r="Q394" s="1756">
        <v>0.02</v>
      </c>
      <c r="R394" s="1756"/>
      <c r="S394" s="1756"/>
      <c r="T394" s="1756"/>
      <c r="U394" s="1756"/>
      <c r="V394" t="s">
        <v>1164</v>
      </c>
      <c r="AG394" s="1819">
        <v>0</v>
      </c>
      <c r="AH394" s="1819"/>
      <c r="AI394" s="1819"/>
      <c r="AJ394" s="1819"/>
    </row>
    <row r="395" spans="4:36" ht="12.9" customHeight="1">
      <c r="D395" t="s">
        <v>1163</v>
      </c>
      <c r="AG395" s="1819">
        <v>0</v>
      </c>
      <c r="AH395" s="1819"/>
      <c r="AI395" s="1819"/>
      <c r="AJ395" s="1819"/>
    </row>
    <row r="396" spans="4:36" ht="12.9" customHeight="1">
      <c r="AG396" s="456"/>
      <c r="AH396" s="456"/>
      <c r="AI396" s="456"/>
      <c r="AJ396" s="456"/>
    </row>
    <row r="397" spans="4:36" ht="12.9" customHeight="1">
      <c r="D397" s="3" t="s">
        <v>2143</v>
      </c>
      <c r="AG397" s="456"/>
      <c r="AH397" s="456"/>
      <c r="AI397" s="1332" t="s">
        <v>670</v>
      </c>
      <c r="AJ397" s="1332"/>
    </row>
    <row r="398" spans="4:36" ht="12.9"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2.9"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2.9" customHeight="1">
      <c r="AG400" s="456"/>
      <c r="AH400" s="456"/>
      <c r="AI400" s="456"/>
      <c r="AJ400" s="456"/>
    </row>
    <row r="401" spans="1:36" ht="12.9" customHeight="1">
      <c r="D401" s="3" t="s">
        <v>1661</v>
      </c>
      <c r="S401" s="1751" t="s">
        <v>670</v>
      </c>
      <c r="T401" s="1751"/>
      <c r="U401" s="1751"/>
      <c r="V401" t="s">
        <v>1662</v>
      </c>
      <c r="AG401" s="1823"/>
      <c r="AH401" s="1823"/>
      <c r="AI401" s="1823"/>
      <c r="AJ401" s="1823"/>
    </row>
    <row r="402" spans="1:36" ht="12.9" customHeight="1">
      <c r="D402" s="3" t="s">
        <v>1659</v>
      </c>
      <c r="S402" s="1751" t="s">
        <v>592</v>
      </c>
      <c r="T402" s="1751"/>
      <c r="U402" s="1751"/>
      <c r="V402" t="s">
        <v>1664</v>
      </c>
      <c r="AE402" s="1818"/>
      <c r="AF402" s="1818"/>
      <c r="AG402" s="1818"/>
      <c r="AH402" s="1818"/>
      <c r="AI402" s="1818"/>
      <c r="AJ402" s="1818"/>
    </row>
    <row r="403" spans="1:36" ht="12.9"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 customHeight="1">
      <c r="D404" s="3" t="s">
        <v>1663</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 customHeight="1">
      <c r="D405" s="3" t="s">
        <v>1666</v>
      </c>
      <c r="E405" s="477"/>
      <c r="F405" s="477"/>
      <c r="G405" s="477"/>
      <c r="H405" s="477"/>
      <c r="I405" s="477"/>
      <c r="J405" s="477"/>
      <c r="K405" s="477"/>
      <c r="L405" s="477"/>
      <c r="M405" s="477"/>
      <c r="N405" s="477"/>
      <c r="O405" s="477"/>
      <c r="P405" s="477"/>
      <c r="Q405" s="477"/>
      <c r="R405" s="477"/>
      <c r="S405" s="1829" t="s">
        <v>1185</v>
      </c>
      <c r="T405" s="1829"/>
      <c r="U405" s="1829"/>
      <c r="V405" s="1829"/>
      <c r="W405" s="1829"/>
      <c r="X405" s="1829"/>
      <c r="Y405" s="1829"/>
      <c r="Z405" s="1829"/>
      <c r="AA405" s="1829"/>
      <c r="AB405" s="1829"/>
      <c r="AC405" s="1829"/>
      <c r="AD405" s="1829"/>
      <c r="AE405" s="1829"/>
      <c r="AF405" s="1829"/>
      <c r="AG405" s="1829"/>
      <c r="AH405" s="1829"/>
      <c r="AI405" s="1829"/>
      <c r="AJ405" s="1829"/>
    </row>
    <row r="406" spans="1:36" ht="12.9"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590</v>
      </c>
      <c r="B409" s="2"/>
      <c r="C409" s="2" t="s">
        <v>111</v>
      </c>
    </row>
    <row r="410" spans="1:36" ht="12.9" customHeight="1">
      <c r="B410" s="2"/>
      <c r="C410" s="2"/>
      <c r="D410" s="2" t="s">
        <v>1205</v>
      </c>
      <c r="I410" s="1417" t="s">
        <v>2691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 customHeight="1">
      <c r="E411" t="s">
        <v>106</v>
      </c>
      <c r="R411" s="1332" t="s">
        <v>592</v>
      </c>
      <c r="S411" s="1332"/>
      <c r="AC411" s="27" t="s">
        <v>571</v>
      </c>
      <c r="AD411" s="1663"/>
      <c r="AE411" s="1663"/>
    </row>
    <row r="412" spans="1:36" ht="12.9" customHeight="1">
      <c r="E412" t="s">
        <v>107</v>
      </c>
      <c r="R412" s="1332" t="s">
        <v>546</v>
      </c>
      <c r="S412" s="1332"/>
      <c r="AC412" s="27" t="s">
        <v>571</v>
      </c>
      <c r="AD412" s="1663">
        <v>3</v>
      </c>
      <c r="AE412" s="1663"/>
    </row>
    <row r="413" spans="1:36" ht="12.9" customHeight="1">
      <c r="E413" t="s">
        <v>108</v>
      </c>
      <c r="S413" s="1332" t="s">
        <v>592</v>
      </c>
      <c r="T413" s="1332"/>
    </row>
    <row r="414" spans="1:36" ht="12.9" customHeight="1">
      <c r="E414" t="s">
        <v>170</v>
      </c>
      <c r="H414" s="1757" t="s">
        <v>2692</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 customHeight="1"/>
    <row r="417" spans="1:39" ht="12.9" customHeight="1">
      <c r="A417" s="2" t="s">
        <v>591</v>
      </c>
      <c r="B417" s="2"/>
      <c r="C417" s="2"/>
      <c r="D417" s="2" t="s">
        <v>114</v>
      </c>
      <c r="AF417" s="2" t="s">
        <v>958</v>
      </c>
    </row>
    <row r="418" spans="1:39" ht="12.9" customHeight="1">
      <c r="E418" s="1817"/>
      <c r="F418" s="1817"/>
      <c r="G418" s="1817"/>
      <c r="H418" s="13" t="s">
        <v>115</v>
      </c>
      <c r="I418" s="1817"/>
      <c r="J418" s="1817"/>
      <c r="K418" s="1817"/>
      <c r="L418" t="s">
        <v>116</v>
      </c>
      <c r="N418" s="27" t="s">
        <v>576</v>
      </c>
      <c r="P418" s="1760">
        <v>0.73</v>
      </c>
      <c r="Q418" s="1760"/>
      <c r="R418" s="1760"/>
      <c r="S418" t="s">
        <v>117</v>
      </c>
      <c r="W418" s="1828">
        <f>IF(E418&gt;0,(E418*I418),(P418*43560))</f>
        <v>31798.799999999999</v>
      </c>
      <c r="X418" s="1828"/>
      <c r="Y418" s="1828"/>
      <c r="Z418" t="s">
        <v>118</v>
      </c>
      <c r="AF418" s="1761">
        <f>IFERROR(IF(P418&gt;0,(AG437/P418),(AG437/(W418/43560))),0)</f>
        <v>131.50684931506851</v>
      </c>
      <c r="AG418" s="1761"/>
      <c r="AH418" s="1761"/>
      <c r="AM418" s="3"/>
    </row>
    <row r="419" spans="1:39" ht="12.9" customHeight="1">
      <c r="E419" t="s">
        <v>51</v>
      </c>
    </row>
    <row r="420" spans="1:39" ht="12.9"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 customHeight="1">
      <c r="E421" s="118" t="s">
        <v>1737</v>
      </c>
      <c r="F421" s="1013"/>
      <c r="G421" s="1013"/>
      <c r="H421" s="1013"/>
      <c r="I421" s="1759"/>
      <c r="J421" s="1759"/>
      <c r="K421" s="1759"/>
      <c r="L421" s="1013"/>
      <c r="M421" s="118"/>
      <c r="N421" s="1013"/>
      <c r="O421" s="1013"/>
      <c r="P421" s="1441" t="e">
        <f>(DU755+DU778+DU800)/I421</f>
        <v>#DIV/0!</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332">
        <v>5</v>
      </c>
      <c r="Q424" s="1332"/>
      <c r="S424" t="s">
        <v>189</v>
      </c>
      <c r="AE424" s="1332">
        <v>5</v>
      </c>
      <c r="AF424" s="1332"/>
    </row>
    <row r="425" spans="1:39" ht="12.9" customHeight="1">
      <c r="E425" t="s">
        <v>190</v>
      </c>
      <c r="P425" s="1332">
        <v>0</v>
      </c>
      <c r="Q425" s="1332"/>
      <c r="S425" t="s">
        <v>131</v>
      </c>
      <c r="AE425" s="1332" t="s">
        <v>592</v>
      </c>
      <c r="AF425" s="1332"/>
    </row>
    <row r="426" spans="1:39" ht="12.9" customHeight="1">
      <c r="F426" s="28" t="s">
        <v>132</v>
      </c>
    </row>
    <row r="427" spans="1:39" ht="12.9"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 customHeight="1">
      <c r="E429" t="s">
        <v>609</v>
      </c>
      <c r="P429" s="1"/>
      <c r="Q429" s="1332" t="s">
        <v>670</v>
      </c>
      <c r="R429" s="1332"/>
    </row>
    <row r="430" spans="1:39" ht="12.9" customHeight="1">
      <c r="F430" t="s">
        <v>610</v>
      </c>
      <c r="P430" s="1"/>
      <c r="Q430" s="1"/>
      <c r="AF430" s="1332" t="s">
        <v>546</v>
      </c>
      <c r="AG430" s="1825"/>
    </row>
    <row r="431" spans="1:39" ht="12.9" customHeight="1"/>
    <row r="432" spans="1:39" ht="12.9" customHeight="1">
      <c r="A432" s="2"/>
      <c r="B432" s="2"/>
      <c r="C432" s="2"/>
      <c r="E432" s="4" t="s">
        <v>308</v>
      </c>
      <c r="Z432" s="1332" t="s">
        <v>670</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 customHeight="1"/>
    <row r="436" spans="1:55" ht="12.9" customHeight="1">
      <c r="A436" s="2" t="s">
        <v>468</v>
      </c>
      <c r="B436" s="2"/>
      <c r="C436" s="2"/>
      <c r="D436" s="2" t="s">
        <v>765</v>
      </c>
      <c r="AF436" s="48"/>
    </row>
    <row r="437" spans="1:55" ht="12.9"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2">
        <v>96</v>
      </c>
      <c r="AH437" s="1822"/>
      <c r="AI437" s="1822"/>
      <c r="AJ437" s="1822"/>
    </row>
    <row r="438" spans="1:55" ht="12.9"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v>0</v>
      </c>
      <c r="AH438" s="1613"/>
      <c r="AI438" s="1613"/>
      <c r="AJ438" s="1613"/>
    </row>
    <row r="439" spans="1:55" ht="12.9"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92</v>
      </c>
      <c r="AH439" s="1822"/>
      <c r="AI439" s="1822"/>
      <c r="AJ439" s="1822"/>
    </row>
    <row r="440" spans="1:55" ht="12.9"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v>92</v>
      </c>
      <c r="AH440" s="1822"/>
      <c r="AI440" s="1822"/>
      <c r="AJ440" s="1822"/>
    </row>
    <row r="441" spans="1:55" ht="12.9"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38630</v>
      </c>
      <c r="AH442" s="1695"/>
      <c r="AI442" s="1695"/>
      <c r="AJ442" s="1695"/>
    </row>
    <row r="443" spans="1:55" ht="12.9"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38630</v>
      </c>
      <c r="AH443" s="1695"/>
      <c r="AI443" s="1695"/>
      <c r="AJ443" s="1695"/>
    </row>
    <row r="444" spans="1:55" ht="12.9"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 customHeight="1">
      <c r="D446" s="1743"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0</v>
      </c>
      <c r="AH446" s="1695"/>
      <c r="AI446" s="1695"/>
      <c r="AJ446" s="1695"/>
      <c r="AZ446" s="34"/>
      <c r="BA446" s="34"/>
      <c r="BB446" s="34"/>
      <c r="BC446" s="34"/>
    </row>
    <row r="447" spans="1:55" ht="12.9"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2.9" customHeight="1">
      <c r="D448" s="1743"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0</v>
      </c>
      <c r="AH448" s="1695"/>
      <c r="AI448" s="1695"/>
      <c r="AJ448" s="1695"/>
      <c r="AZ448" s="3"/>
      <c r="BA448" s="3"/>
      <c r="BB448" s="3"/>
      <c r="BC448" s="3"/>
    </row>
    <row r="449" spans="1:55" ht="12.9" customHeight="1">
      <c r="D449" s="1743"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0</v>
      </c>
      <c r="AH449" s="1695"/>
      <c r="AI449" s="1695"/>
      <c r="AJ449" s="1695"/>
      <c r="BB449" s="3"/>
      <c r="BC449" s="3"/>
    </row>
    <row r="450" spans="1:55" ht="12.9"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9">
        <f>AG442+AG446+AG448+AG449</f>
        <v>38630</v>
      </c>
      <c r="AH450" s="1849"/>
      <c r="AI450" s="1849"/>
      <c r="AJ450" s="1849"/>
      <c r="AZ450" s="3"/>
      <c r="BA450" s="3"/>
      <c r="BB450" s="3"/>
      <c r="BC450" s="3"/>
    </row>
    <row r="451" spans="1:55" ht="12.9"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433425.125</v>
      </c>
      <c r="AD454" s="1813"/>
      <c r="AE454" s="1813"/>
      <c r="AF454" s="1813"/>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433425.125</v>
      </c>
      <c r="AD455" s="1813"/>
      <c r="AE455" s="1813"/>
      <c r="AF455" s="1813"/>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365039.05208333331</v>
      </c>
      <c r="AD456" s="1813"/>
      <c r="AE456" s="1813"/>
      <c r="AF456" s="1813"/>
      <c r="AG456" s="177"/>
      <c r="AH456" s="177"/>
      <c r="AI456" s="177"/>
      <c r="AJ456" s="183"/>
      <c r="AZ456" s="3"/>
      <c r="BA456" s="3"/>
      <c r="BB456" s="3"/>
      <c r="BC456" s="3"/>
    </row>
    <row r="457" spans="1:55" ht="12.9"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3" t="s">
        <v>2100</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3" t="s">
        <v>2191</v>
      </c>
      <c r="E472" s="1853"/>
      <c r="F472" s="1853"/>
      <c r="G472" s="1853"/>
      <c r="H472" s="1853"/>
      <c r="I472" s="1853"/>
      <c r="J472" s="1853"/>
      <c r="K472" s="1853"/>
      <c r="L472" s="1853"/>
      <c r="M472" s="1853"/>
      <c r="N472" s="1853"/>
      <c r="O472" s="1853"/>
      <c r="P472" s="1853"/>
      <c r="Q472" s="1853"/>
      <c r="R472" s="1853"/>
      <c r="S472" s="1853"/>
      <c r="T472" s="1853"/>
      <c r="U472" s="1853"/>
      <c r="V472" s="1854"/>
      <c r="W472" s="1665">
        <v>0</v>
      </c>
      <c r="X472" s="1666"/>
      <c r="Y472" s="166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5">
        <v>0</v>
      </c>
      <c r="X473" s="1666"/>
      <c r="Y473" s="166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 customHeight="1">
      <c r="B486" s="45" t="s">
        <v>394</v>
      </c>
      <c r="C486" s="5"/>
      <c r="D486" s="5"/>
      <c r="E486" s="5"/>
      <c r="F486" s="5"/>
      <c r="G486" s="5"/>
      <c r="H486" s="5"/>
      <c r="I486" s="5"/>
      <c r="J486" s="5"/>
      <c r="K486" s="5"/>
      <c r="L486" s="5"/>
      <c r="M486" s="5"/>
      <c r="N486" s="5"/>
      <c r="O486" s="5"/>
      <c r="P486" s="5"/>
      <c r="Q486" s="1546" t="s">
        <v>2693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 customHeight="1">
      <c r="B487" s="45" t="s">
        <v>395</v>
      </c>
      <c r="C487" s="5"/>
      <c r="D487" s="5"/>
      <c r="E487" s="5"/>
      <c r="F487" s="5"/>
      <c r="G487" s="5"/>
      <c r="H487" s="5"/>
      <c r="I487" s="5"/>
      <c r="J487" s="5"/>
      <c r="K487" s="5"/>
      <c r="L487" s="5"/>
      <c r="M487" s="5"/>
      <c r="N487" s="5"/>
      <c r="O487" s="5"/>
      <c r="P487" s="5"/>
      <c r="Q487" s="1546" t="s">
        <v>2694</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 customHeight="1">
      <c r="B488" s="45" t="s">
        <v>396</v>
      </c>
      <c r="C488" s="5"/>
      <c r="D488" s="5"/>
      <c r="E488" s="5"/>
      <c r="F488" s="5"/>
      <c r="G488" s="5"/>
      <c r="H488" s="5"/>
      <c r="I488" s="5"/>
      <c r="J488" s="5"/>
      <c r="K488" s="5"/>
      <c r="L488" s="5"/>
      <c r="M488" s="5"/>
      <c r="N488" s="5"/>
      <c r="O488" s="5"/>
      <c r="P488" s="5"/>
      <c r="Q488" s="1546" t="s">
        <v>2695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 customHeight="1">
      <c r="B489" s="1837" t="s">
        <v>397</v>
      </c>
      <c r="C489" s="1838"/>
      <c r="D489" s="1838"/>
      <c r="E489" s="1838"/>
      <c r="F489" s="1838"/>
      <c r="G489" s="1838"/>
      <c r="H489" s="1838"/>
      <c r="I489" s="1838"/>
      <c r="J489" s="1838"/>
      <c r="K489" s="1838"/>
      <c r="L489" s="1838"/>
      <c r="M489" s="1838"/>
      <c r="N489" s="1838"/>
      <c r="O489" s="1838"/>
      <c r="P489" s="1839"/>
      <c r="Q489" s="1843" t="s">
        <v>670</v>
      </c>
      <c r="R489" s="1844"/>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 customHeight="1">
      <c r="B490" s="1840"/>
      <c r="C490" s="1841"/>
      <c r="D490" s="1841"/>
      <c r="E490" s="1841"/>
      <c r="F490" s="1841"/>
      <c r="G490" s="1841"/>
      <c r="H490" s="1841"/>
      <c r="I490" s="1841"/>
      <c r="J490" s="1841"/>
      <c r="K490" s="1841"/>
      <c r="L490" s="1841"/>
      <c r="M490" s="1841"/>
      <c r="N490" s="1841"/>
      <c r="O490" s="1841"/>
      <c r="P490" s="1842"/>
      <c r="Q490" s="1845"/>
      <c r="R490" s="1846"/>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 customHeight="1">
      <c r="B491" s="895" t="s">
        <v>1672</v>
      </c>
      <c r="C491" s="873"/>
      <c r="D491" s="873"/>
      <c r="E491" s="873"/>
      <c r="F491" s="873"/>
      <c r="G491" s="873"/>
      <c r="H491" s="873"/>
      <c r="I491" s="873"/>
      <c r="J491" s="873"/>
      <c r="K491" s="873"/>
      <c r="L491" s="873"/>
      <c r="M491" s="873"/>
      <c r="N491" s="873"/>
      <c r="O491" s="873"/>
      <c r="P491" s="873"/>
      <c r="Q491" s="1850" t="s">
        <v>670</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 customHeight="1">
      <c r="B492" s="45" t="s">
        <v>398</v>
      </c>
      <c r="C492" s="5"/>
      <c r="D492" s="5"/>
      <c r="E492" s="5"/>
      <c r="F492" s="5"/>
      <c r="G492" s="5"/>
      <c r="H492" s="5"/>
      <c r="I492" s="5"/>
      <c r="J492" s="5"/>
      <c r="K492" s="5"/>
      <c r="L492" s="5"/>
      <c r="M492" s="5"/>
      <c r="N492" s="5"/>
      <c r="O492" s="5"/>
      <c r="P492" s="5"/>
      <c r="Q492" s="1546" t="s">
        <v>2695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 customHeight="1">
      <c r="B493" s="45" t="s">
        <v>399</v>
      </c>
      <c r="C493" s="5"/>
      <c r="D493" s="5"/>
      <c r="E493" s="5"/>
      <c r="F493" s="5"/>
      <c r="G493" s="5"/>
      <c r="H493" s="5"/>
      <c r="I493" s="5"/>
      <c r="J493" s="5"/>
      <c r="K493" s="5"/>
      <c r="L493" s="5"/>
      <c r="M493" s="5"/>
      <c r="N493" s="5"/>
      <c r="O493" s="5"/>
      <c r="P493" s="5"/>
      <c r="Q493" s="1546" t="s">
        <v>2695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577">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 customHeight="1">
      <c r="B495" s="121" t="s">
        <v>1670</v>
      </c>
      <c r="C495" s="5"/>
      <c r="D495" s="5"/>
      <c r="E495" s="5"/>
      <c r="F495" s="5"/>
      <c r="G495" s="5"/>
      <c r="H495" s="5"/>
      <c r="I495" s="5"/>
      <c r="J495" s="5"/>
      <c r="K495" s="5"/>
      <c r="L495" s="5"/>
      <c r="M495" s="1446">
        <v>0</v>
      </c>
      <c r="N495" s="1447"/>
      <c r="O495" s="1447"/>
      <c r="P495" s="1448"/>
      <c r="Q495" s="121" t="s">
        <v>1671</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403</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 customHeight="1">
      <c r="B504" s="1673"/>
      <c r="C504" s="1433"/>
      <c r="D504" s="1433"/>
      <c r="E504" s="1433"/>
      <c r="F504" s="1433"/>
      <c r="G504" s="1433"/>
      <c r="H504" s="1434"/>
      <c r="I504" t="s">
        <v>410</v>
      </c>
      <c r="AC504" s="1662" t="s">
        <v>592</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 customHeight="1">
      <c r="B505" s="1673"/>
      <c r="C505" s="1433"/>
      <c r="D505" s="1433"/>
      <c r="E505" s="1433"/>
      <c r="F505" s="1433"/>
      <c r="G505" s="1433"/>
      <c r="H505" s="1434"/>
      <c r="I505" t="s">
        <v>411</v>
      </c>
      <c r="AC505" s="1662" t="s">
        <v>592</v>
      </c>
      <c r="AD505" s="1663"/>
      <c r="AE505" s="1663"/>
      <c r="AF505" s="1663"/>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 customHeight="1">
      <c r="B506" s="1673"/>
      <c r="C506" s="1433"/>
      <c r="D506" s="1433"/>
      <c r="E506" s="1433"/>
      <c r="F506" s="1433"/>
      <c r="G506" s="1433"/>
      <c r="H506" s="1434"/>
      <c r="I506" t="s">
        <v>412</v>
      </c>
      <c r="AC506" s="1662" t="s">
        <v>592</v>
      </c>
      <c r="AD506" s="1663"/>
      <c r="AE506" s="1663"/>
      <c r="AF506" s="1663"/>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 customHeight="1">
      <c r="B507" s="1673"/>
      <c r="C507" s="1433"/>
      <c r="D507" s="1433"/>
      <c r="E507" s="1433"/>
      <c r="F507" s="1433"/>
      <c r="G507" s="1433"/>
      <c r="H507" s="1434"/>
      <c r="I507" s="3" t="s">
        <v>413</v>
      </c>
      <c r="AC507" s="1337">
        <v>9</v>
      </c>
      <c r="AD507" s="1338"/>
      <c r="AE507" s="1338"/>
      <c r="AF507" s="1338"/>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 customHeight="1">
      <c r="B508" s="1673"/>
      <c r="C508" s="1433"/>
      <c r="D508" s="1433"/>
      <c r="E508" s="1433"/>
      <c r="F508" s="1433"/>
      <c r="G508" s="1433"/>
      <c r="H508" s="1434"/>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8"/>
      <c r="AC508" s="1662" t="s">
        <v>592</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1676</v>
      </c>
      <c r="AC509" s="1822" t="s">
        <v>1185</v>
      </c>
      <c r="AD509" s="1822"/>
      <c r="AE509" s="1822"/>
      <c r="AF509" s="1822"/>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7"/>
      <c r="AZ513" s="3"/>
      <c r="BA513" s="3"/>
      <c r="BB513" s="3"/>
      <c r="BC513" s="3"/>
      <c r="BD513" s="3"/>
      <c r="BE513" s="3"/>
      <c r="BF513" s="3"/>
      <c r="BG513" s="3"/>
      <c r="BH513" s="3"/>
      <c r="BI513" s="3"/>
      <c r="BJ513" s="3"/>
      <c r="BK513" s="3"/>
      <c r="BL513" s="3"/>
      <c r="BM513" s="3"/>
      <c r="BN513" s="3" t="s">
        <v>2105</v>
      </c>
    </row>
    <row r="514" spans="2:66" ht="12.9"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6</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 customHeight="1">
      <c r="B515" s="1673"/>
      <c r="C515" s="1433"/>
      <c r="D515" s="1433"/>
      <c r="E515" s="1433"/>
      <c r="F515" s="1433"/>
      <c r="G515" s="1433"/>
      <c r="H515" s="1434"/>
      <c r="I515" t="s">
        <v>416</v>
      </c>
      <c r="AC515" s="1662">
        <v>8</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3</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t="s">
        <v>592</v>
      </c>
      <c r="AD517" s="1338"/>
      <c r="AE517" s="1338"/>
      <c r="AF517" s="1338"/>
      <c r="AG517" s="129" t="s">
        <v>403</v>
      </c>
      <c r="AH517" s="1403"/>
      <c r="AI517" s="1403"/>
      <c r="AJ517" s="1403"/>
      <c r="AK517" s="1404"/>
      <c r="AZ517" s="3"/>
      <c r="BB517" s="3"/>
      <c r="BC517" s="3"/>
      <c r="BD517" s="3"/>
      <c r="BE517" s="3"/>
      <c r="BF517" s="3"/>
      <c r="BG517" s="3"/>
      <c r="BH517" s="3"/>
      <c r="BI517" s="3"/>
      <c r="BJ517" s="3"/>
      <c r="BK517" s="3"/>
      <c r="BL517" s="3"/>
      <c r="BM517" s="3"/>
      <c r="BN517" s="3" t="s">
        <v>2109</v>
      </c>
    </row>
    <row r="518" spans="2:66" ht="12.9" customHeight="1">
      <c r="B518" s="1673"/>
      <c r="C518" s="1433"/>
      <c r="D518" s="1433"/>
      <c r="E518" s="1433"/>
      <c r="F518" s="1433"/>
      <c r="G518" s="1433"/>
      <c r="H518" s="1434"/>
      <c r="I518" t="s">
        <v>416</v>
      </c>
      <c r="AC518" s="1662" t="s">
        <v>592</v>
      </c>
      <c r="AD518" s="1663"/>
      <c r="AE518" s="1663"/>
      <c r="AF518" s="1663"/>
      <c r="AG518" s="13" t="s">
        <v>403</v>
      </c>
      <c r="AH518" s="1403"/>
      <c r="AI518" s="1403"/>
      <c r="AJ518" s="1403"/>
      <c r="AK518" s="1404"/>
      <c r="BB518" s="3"/>
      <c r="BC518" s="3"/>
      <c r="BD518" s="3"/>
      <c r="BE518" s="3"/>
      <c r="BF518" s="3"/>
      <c r="BG518" s="3"/>
      <c r="BH518" s="3"/>
      <c r="BI518" s="3"/>
      <c r="BJ518" s="3"/>
      <c r="BK518" s="3"/>
      <c r="BL518" s="3"/>
      <c r="BM518" s="3"/>
      <c r="BN518" s="3" t="s">
        <v>2110</v>
      </c>
    </row>
    <row r="519" spans="2:66" ht="12.9"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t="s">
        <v>592</v>
      </c>
      <c r="AD519" s="1663"/>
      <c r="AE519" s="1663"/>
      <c r="AF519" s="1663"/>
      <c r="AG519" s="38" t="s">
        <v>403</v>
      </c>
      <c r="AH519" s="1403"/>
      <c r="AI519" s="1403"/>
      <c r="AJ519" s="1403"/>
      <c r="AK519" s="1404"/>
      <c r="BB519" s="3"/>
      <c r="BC519" s="3"/>
      <c r="BD519" s="3"/>
      <c r="BE519" s="3"/>
      <c r="BF519" s="3"/>
      <c r="BG519" s="3"/>
      <c r="BH519" s="3"/>
      <c r="BI519" s="3"/>
      <c r="BJ519" s="3"/>
      <c r="BK519" s="3"/>
      <c r="BL519" s="3"/>
      <c r="BM519" s="3"/>
      <c r="BN519" s="3" t="s">
        <v>2111</v>
      </c>
    </row>
    <row r="520" spans="2:66" ht="12.9" customHeight="1">
      <c r="B520" s="1672" t="s">
        <v>419</v>
      </c>
      <c r="C520" s="1431"/>
      <c r="D520" s="1431"/>
      <c r="E520" s="1431"/>
      <c r="F520" s="1431"/>
      <c r="G520" s="1431"/>
      <c r="H520" s="1432"/>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2.9" customHeight="1">
      <c r="B521" s="1673"/>
      <c r="C521" s="1433"/>
      <c r="D521" s="1433"/>
      <c r="E521" s="1433"/>
      <c r="F521" s="1433"/>
      <c r="G521" s="1433"/>
      <c r="H521" s="1434"/>
      <c r="I521" s="114" t="s">
        <v>421</v>
      </c>
      <c r="AB521" s="65"/>
      <c r="AC521" s="1662" t="s">
        <v>592</v>
      </c>
      <c r="AD521" s="1663"/>
      <c r="AE521" s="1663"/>
      <c r="AF521" s="1663"/>
      <c r="AG521" s="13" t="s">
        <v>403</v>
      </c>
      <c r="AH521" s="1403"/>
      <c r="AI521" s="1403"/>
      <c r="AJ521" s="1403"/>
      <c r="AK521" s="1404"/>
      <c r="AZ521" s="3"/>
      <c r="BB521" s="3"/>
      <c r="BC521" s="3"/>
      <c r="BD521" s="3"/>
      <c r="BE521" s="3"/>
      <c r="BF521" s="3"/>
      <c r="BG521" s="3"/>
      <c r="BH521" s="3"/>
      <c r="BI521" s="3"/>
      <c r="BJ521" s="3"/>
      <c r="BK521" s="3"/>
      <c r="BL521" s="3"/>
      <c r="BM521" s="3"/>
      <c r="BN521" s="3" t="s">
        <v>2113</v>
      </c>
    </row>
    <row r="522" spans="2:66" ht="12.9"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592</v>
      </c>
      <c r="AD522" s="1663"/>
      <c r="AE522" s="1663"/>
      <c r="AF522" s="1663"/>
      <c r="AG522" s="38" t="s">
        <v>403</v>
      </c>
      <c r="AH522" s="1403"/>
      <c r="AI522" s="1403"/>
      <c r="AJ522" s="1403"/>
      <c r="AK522" s="1404"/>
      <c r="AZ522" s="3"/>
      <c r="BA522" s="3"/>
      <c r="BB522" s="3"/>
      <c r="BC522" s="3"/>
      <c r="BD522" s="3"/>
      <c r="BE522" s="3"/>
      <c r="BF522" s="3"/>
      <c r="BG522" s="3"/>
      <c r="BH522" s="3"/>
      <c r="BI522" s="3"/>
      <c r="BJ522" s="3"/>
      <c r="BK522" s="3"/>
      <c r="BL522" s="3"/>
      <c r="BM522" s="3"/>
      <c r="BN522" s="3" t="s">
        <v>2114</v>
      </c>
    </row>
    <row r="523" spans="2:66" ht="12.9" customHeight="1">
      <c r="B523" s="1673"/>
      <c r="C523" s="1433"/>
      <c r="D523" s="1433"/>
      <c r="E523" s="1433"/>
      <c r="F523" s="1433"/>
      <c r="G523" s="1433"/>
      <c r="H523" s="1434"/>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 customHeight="1">
      <c r="B524" s="1673"/>
      <c r="C524" s="1433"/>
      <c r="D524" s="1433"/>
      <c r="E524" s="1433"/>
      <c r="F524" s="1433"/>
      <c r="G524" s="1433"/>
      <c r="H524" s="1434"/>
      <c r="I524" t="s">
        <v>421</v>
      </c>
      <c r="AC524" s="1662" t="s">
        <v>592</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 customHeight="1">
      <c r="B526" s="1673"/>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 customHeight="1">
      <c r="B527" s="1673"/>
      <c r="C527" s="1433"/>
      <c r="D527" s="1433"/>
      <c r="E527" s="1433"/>
      <c r="F527" s="1433"/>
      <c r="G527" s="1433"/>
      <c r="H527" s="1434"/>
      <c r="I527" t="s">
        <v>421</v>
      </c>
      <c r="AC527" s="1662" t="s">
        <v>592</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 customHeight="1">
      <c r="B530" s="1673"/>
      <c r="C530" s="1433"/>
      <c r="D530" s="1433"/>
      <c r="E530" s="1433"/>
      <c r="F530" s="1433"/>
      <c r="G530" s="1433"/>
      <c r="H530" s="1434"/>
      <c r="I530" t="s">
        <v>421</v>
      </c>
      <c r="AC530" s="1662" t="s">
        <v>592</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t="s">
        <v>592</v>
      </c>
      <c r="AD538" s="1663"/>
      <c r="AE538" s="1663"/>
      <c r="AF538" s="1663"/>
      <c r="AG538" s="38" t="s">
        <v>403</v>
      </c>
      <c r="AH538" s="1403"/>
      <c r="AI538" s="1403"/>
      <c r="AJ538" s="1403"/>
      <c r="AK538" s="1404"/>
      <c r="AZ538" s="3"/>
      <c r="BA538" s="3"/>
      <c r="BB538" s="3"/>
      <c r="BC538" s="3"/>
      <c r="BD538" s="3"/>
      <c r="BE538" s="3"/>
      <c r="BF538" s="3"/>
      <c r="BG538" s="3"/>
      <c r="BH538" s="3"/>
      <c r="BI538" s="3"/>
      <c r="BJ538" s="3"/>
      <c r="BK538" s="3"/>
      <c r="BL538" s="3"/>
      <c r="BM538" s="3"/>
      <c r="BN538" s="3"/>
    </row>
    <row r="539" spans="1:66" ht="12.9" customHeight="1">
      <c r="B539" s="1673"/>
      <c r="C539" s="1433"/>
      <c r="D539" s="1433"/>
      <c r="E539" s="1433"/>
      <c r="F539" s="1433"/>
      <c r="G539" s="1433"/>
      <c r="H539" s="1434"/>
      <c r="I539" t="s">
        <v>564</v>
      </c>
      <c r="AC539" s="1662">
        <v>3</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 customHeight="1">
      <c r="B540" s="1673"/>
      <c r="C540" s="1433"/>
      <c r="D540" s="1433"/>
      <c r="E540" s="1433"/>
      <c r="F540" s="1433"/>
      <c r="G540" s="1433"/>
      <c r="H540" s="1434"/>
      <c r="I540" t="s">
        <v>565</v>
      </c>
      <c r="AC540" s="1662">
        <v>12</v>
      </c>
      <c r="AD540" s="1663"/>
      <c r="AE540" s="1663"/>
      <c r="AF540" s="1663"/>
      <c r="AG540" s="38" t="s">
        <v>403</v>
      </c>
      <c r="AH540" s="1403">
        <v>2026</v>
      </c>
      <c r="AI540" s="1403"/>
      <c r="AJ540" s="1403"/>
      <c r="AK540" s="1404"/>
      <c r="AZ540" s="3"/>
      <c r="BA540" s="3"/>
      <c r="BB540" s="3"/>
      <c r="BC540" s="3"/>
      <c r="BD540" s="3"/>
      <c r="BE540" s="3"/>
      <c r="BF540" s="3"/>
      <c r="BG540" s="3"/>
      <c r="BH540" s="3"/>
      <c r="BI540" s="3"/>
      <c r="BJ540" s="3"/>
      <c r="BK540" s="3"/>
      <c r="BL540" s="3"/>
      <c r="BM540" s="3"/>
      <c r="BN540" s="3"/>
    </row>
    <row r="541" spans="1:66" ht="12.9" customHeight="1">
      <c r="B541" s="1673"/>
      <c r="C541" s="1433"/>
      <c r="D541" s="1433"/>
      <c r="E541" s="1433"/>
      <c r="F541" s="1433"/>
      <c r="G541" s="1433"/>
      <c r="H541" s="1434"/>
      <c r="I541" t="s">
        <v>566</v>
      </c>
      <c r="AC541" s="1662">
        <v>12</v>
      </c>
      <c r="AD541" s="1663"/>
      <c r="AE541" s="1663"/>
      <c r="AF541" s="1663"/>
      <c r="AG541" s="38" t="s">
        <v>403</v>
      </c>
      <c r="AH541" s="1403">
        <v>2026</v>
      </c>
      <c r="AI541" s="1403"/>
      <c r="AJ541" s="1403"/>
      <c r="AK541" s="1404"/>
      <c r="AZ541" s="3"/>
      <c r="BA541" s="3"/>
      <c r="BB541" s="3"/>
      <c r="BC541" s="3"/>
      <c r="BD541" s="3"/>
      <c r="BE541" s="3"/>
      <c r="BF541" s="3"/>
      <c r="BG541" s="3"/>
      <c r="BH541" s="3"/>
      <c r="BI541" s="3"/>
      <c r="BJ541" s="3"/>
      <c r="BK541" s="3"/>
      <c r="BL541" s="3"/>
      <c r="BM541" s="3"/>
      <c r="BN541" s="3"/>
    </row>
    <row r="542" spans="1:66" ht="12.9"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12</v>
      </c>
      <c r="AD542" s="1663"/>
      <c r="AE542" s="1663"/>
      <c r="AF542" s="1663"/>
      <c r="AG542" s="38" t="s">
        <v>403</v>
      </c>
      <c r="AH542" s="1403">
        <v>2026</v>
      </c>
      <c r="AI542" s="1403"/>
      <c r="AJ542" s="1403"/>
      <c r="AK542" s="1404"/>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 customHeight="1">
      <c r="B554" s="51" t="s">
        <v>112</v>
      </c>
      <c r="C554" s="1693" t="s">
        <v>2696</v>
      </c>
      <c r="D554" s="1693"/>
      <c r="E554" s="1693"/>
      <c r="F554" s="1693"/>
      <c r="G554" s="1693"/>
      <c r="H554" s="1693"/>
      <c r="I554" s="1693"/>
      <c r="J554" s="1693"/>
      <c r="K554" s="1693"/>
      <c r="L554" s="1693"/>
      <c r="M554" s="1693" t="s">
        <v>2120</v>
      </c>
      <c r="N554" s="1693"/>
      <c r="O554" s="1693"/>
      <c r="P554" s="1693"/>
      <c r="Q554" s="1453">
        <v>24</v>
      </c>
      <c r="R554" s="1453"/>
      <c r="S554" s="1454"/>
      <c r="T554" s="1452">
        <v>24</v>
      </c>
      <c r="U554" s="1453"/>
      <c r="V554" s="1454"/>
      <c r="W554" s="1455">
        <v>5.8799999999999998E-2</v>
      </c>
      <c r="X554" s="1456"/>
      <c r="Y554" s="1457"/>
      <c r="Z554" s="1694" t="s">
        <v>1185</v>
      </c>
      <c r="AA554" s="1694"/>
      <c r="AB554" s="1694"/>
      <c r="AC554" s="1694"/>
      <c r="AD554" s="1694"/>
      <c r="AE554" s="1675">
        <v>1</v>
      </c>
      <c r="AF554" s="1676"/>
      <c r="AG554" s="1676"/>
      <c r="AH554" s="1677"/>
      <c r="AI554" s="1678"/>
      <c r="AJ554" s="1679"/>
      <c r="AK554" s="1679"/>
      <c r="AL554" s="1680"/>
      <c r="AM554" s="1668">
        <v>10750000</v>
      </c>
      <c r="AN554" s="1669"/>
      <c r="AO554" s="1669"/>
      <c r="AP554" s="1669"/>
      <c r="AQ554" s="1669"/>
      <c r="AR554" s="1669"/>
      <c r="AS554" s="1670"/>
      <c r="AT554" s="1148"/>
      <c r="AU554" s="1147"/>
      <c r="BB554" s="3"/>
      <c r="BC554" s="3"/>
      <c r="BD554" s="3"/>
      <c r="BE554" s="3"/>
      <c r="BF554" s="3"/>
      <c r="BG554" s="3"/>
      <c r="BH554" s="3"/>
      <c r="BI554" s="3"/>
    </row>
    <row r="555" spans="1:61" ht="12.9" customHeight="1">
      <c r="B555" s="52" t="s">
        <v>113</v>
      </c>
      <c r="C555" s="1681" t="s">
        <v>2697</v>
      </c>
      <c r="D555" s="1681"/>
      <c r="E555" s="1681"/>
      <c r="F555" s="1681"/>
      <c r="G555" s="1681"/>
      <c r="H555" s="1681"/>
      <c r="I555" s="1681"/>
      <c r="J555" s="1681"/>
      <c r="K555" s="1681"/>
      <c r="L555" s="1681"/>
      <c r="M555" s="1693" t="s">
        <v>2119</v>
      </c>
      <c r="N555" s="1693"/>
      <c r="O555" s="1693"/>
      <c r="P555" s="1693"/>
      <c r="Q555" s="1452">
        <v>24</v>
      </c>
      <c r="R555" s="1453"/>
      <c r="S555" s="1454"/>
      <c r="T555" s="1452">
        <v>24</v>
      </c>
      <c r="U555" s="1453"/>
      <c r="V555" s="1454"/>
      <c r="W555" s="1455">
        <v>6.3799999999999996E-2</v>
      </c>
      <c r="X555" s="1456"/>
      <c r="Y555" s="1457"/>
      <c r="Z555" s="1694" t="s">
        <v>1185</v>
      </c>
      <c r="AA555" s="1694"/>
      <c r="AB555" s="1694"/>
      <c r="AC555" s="1694"/>
      <c r="AD555" s="1694"/>
      <c r="AE555" s="1675">
        <v>1</v>
      </c>
      <c r="AF555" s="1676"/>
      <c r="AG555" s="1676"/>
      <c r="AH555" s="1677"/>
      <c r="AI555" s="1678"/>
      <c r="AJ555" s="1679"/>
      <c r="AK555" s="1679"/>
      <c r="AL555" s="1680"/>
      <c r="AM555" s="1668">
        <v>5250000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 customHeight="1">
      <c r="B556" s="52" t="s">
        <v>119</v>
      </c>
      <c r="C556" s="1681" t="s">
        <v>2726</v>
      </c>
      <c r="D556" s="1681"/>
      <c r="E556" s="1681"/>
      <c r="F556" s="1681"/>
      <c r="G556" s="1681"/>
      <c r="H556" s="1681"/>
      <c r="I556" s="1681"/>
      <c r="J556" s="1681"/>
      <c r="K556" s="1681"/>
      <c r="L556" s="1681"/>
      <c r="M556" s="1693" t="s">
        <v>2115</v>
      </c>
      <c r="N556" s="1693"/>
      <c r="O556" s="1693"/>
      <c r="P556" s="1693"/>
      <c r="Q556" s="1452">
        <v>24</v>
      </c>
      <c r="R556" s="1453"/>
      <c r="S556" s="1454"/>
      <c r="T556" s="1452">
        <v>24</v>
      </c>
      <c r="U556" s="1453"/>
      <c r="V556" s="1454"/>
      <c r="W556" s="1455">
        <v>7.2499999999999995E-2</v>
      </c>
      <c r="X556" s="1456"/>
      <c r="Y556" s="1457"/>
      <c r="Z556" s="1694" t="s">
        <v>1185</v>
      </c>
      <c r="AA556" s="1694"/>
      <c r="AB556" s="1694"/>
      <c r="AC556" s="1694"/>
      <c r="AD556" s="1694"/>
      <c r="AE556" s="1675">
        <v>2</v>
      </c>
      <c r="AF556" s="1676"/>
      <c r="AG556" s="1676"/>
      <c r="AH556" s="1677"/>
      <c r="AI556" s="1678"/>
      <c r="AJ556" s="1679"/>
      <c r="AK556" s="1679"/>
      <c r="AL556" s="1680"/>
      <c r="AM556" s="1668">
        <v>5073006</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 customHeight="1">
      <c r="B557" s="52" t="s">
        <v>582</v>
      </c>
      <c r="C557" s="1681" t="s">
        <v>2698</v>
      </c>
      <c r="D557" s="1681"/>
      <c r="E557" s="1681"/>
      <c r="F557" s="1681"/>
      <c r="G557" s="1681"/>
      <c r="H557" s="1681"/>
      <c r="I557" s="1681"/>
      <c r="J557" s="1681"/>
      <c r="K557" s="1681"/>
      <c r="L557" s="1681"/>
      <c r="M557" s="1693" t="s">
        <v>2111</v>
      </c>
      <c r="N557" s="1693"/>
      <c r="O557" s="1693"/>
      <c r="P557" s="1693"/>
      <c r="Q557" s="1452"/>
      <c r="R557" s="1453"/>
      <c r="S557" s="1454"/>
      <c r="T557" s="1452"/>
      <c r="U557" s="1453"/>
      <c r="V557" s="1454"/>
      <c r="W557" s="1455"/>
      <c r="X557" s="1456"/>
      <c r="Y557" s="1457"/>
      <c r="Z557" s="1694" t="s">
        <v>1185</v>
      </c>
      <c r="AA557" s="1694"/>
      <c r="AB557" s="1694"/>
      <c r="AC557" s="1694"/>
      <c r="AD557" s="1694"/>
      <c r="AE557" s="1675"/>
      <c r="AF557" s="1676"/>
      <c r="AG557" s="1676"/>
      <c r="AH557" s="1677"/>
      <c r="AI557" s="1678"/>
      <c r="AJ557" s="1679"/>
      <c r="AK557" s="1679"/>
      <c r="AL557" s="1680"/>
      <c r="AM557" s="1668">
        <v>6682087</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 customHeight="1">
      <c r="B558" s="52" t="s">
        <v>764</v>
      </c>
      <c r="C558" s="1681" t="s">
        <v>2699</v>
      </c>
      <c r="D558" s="1681"/>
      <c r="E558" s="1681"/>
      <c r="F558" s="1681"/>
      <c r="G558" s="1681"/>
      <c r="H558" s="1681"/>
      <c r="I558" s="1681"/>
      <c r="J558" s="1681"/>
      <c r="K558" s="1681"/>
      <c r="L558" s="1681"/>
      <c r="M558" s="1693" t="s">
        <v>2122</v>
      </c>
      <c r="N558" s="1693"/>
      <c r="O558" s="1693"/>
      <c r="P558" s="1693"/>
      <c r="Q558" s="1452"/>
      <c r="R558" s="1453"/>
      <c r="S558" s="1454"/>
      <c r="T558" s="1452"/>
      <c r="U558" s="1453"/>
      <c r="V558" s="1454"/>
      <c r="W558" s="1455"/>
      <c r="X558" s="1456"/>
      <c r="Y558" s="1457"/>
      <c r="Z558" s="1694" t="s">
        <v>1185</v>
      </c>
      <c r="AA558" s="1694"/>
      <c r="AB558" s="1694"/>
      <c r="AC558" s="1694"/>
      <c r="AD558" s="1694"/>
      <c r="AE558" s="1675"/>
      <c r="AF558" s="1676"/>
      <c r="AG558" s="1676"/>
      <c r="AH558" s="1677"/>
      <c r="AI558" s="1678"/>
      <c r="AJ558" s="1679"/>
      <c r="AK558" s="1679"/>
      <c r="AL558" s="1680"/>
      <c r="AM558" s="1668">
        <v>1400000</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No</v>
      </c>
    </row>
    <row r="559" spans="1:61" ht="12.9" customHeight="1">
      <c r="B559" s="52" t="s">
        <v>585</v>
      </c>
      <c r="C559" s="1681" t="s">
        <v>2711</v>
      </c>
      <c r="D559" s="1681"/>
      <c r="E559" s="1681"/>
      <c r="F559" s="1681"/>
      <c r="G559" s="1681"/>
      <c r="H559" s="1681"/>
      <c r="I559" s="1681"/>
      <c r="J559" s="1681"/>
      <c r="K559" s="1681"/>
      <c r="L559" s="1681"/>
      <c r="M559" s="1693" t="s">
        <v>2117</v>
      </c>
      <c r="N559" s="1693"/>
      <c r="O559" s="1693"/>
      <c r="P559" s="1693"/>
      <c r="Q559" s="1452"/>
      <c r="R559" s="1453"/>
      <c r="S559" s="1454"/>
      <c r="T559" s="1452"/>
      <c r="U559" s="1453"/>
      <c r="V559" s="1454"/>
      <c r="W559" s="1455"/>
      <c r="X559" s="1456"/>
      <c r="Y559" s="1457"/>
      <c r="Z559" s="1694" t="s">
        <v>1185</v>
      </c>
      <c r="AA559" s="1694"/>
      <c r="AB559" s="1694"/>
      <c r="AC559" s="1694"/>
      <c r="AD559" s="1694"/>
      <c r="AE559" s="1675"/>
      <c r="AF559" s="1676"/>
      <c r="AG559" s="1676"/>
      <c r="AH559" s="1677"/>
      <c r="AI559" s="1678"/>
      <c r="AJ559" s="1679"/>
      <c r="AK559" s="1679"/>
      <c r="AL559" s="1680"/>
      <c r="AM559" s="1668">
        <v>8500000</v>
      </c>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 customHeight="1">
      <c r="B560" s="52" t="s">
        <v>456</v>
      </c>
      <c r="C560" s="1681" t="s">
        <v>2700</v>
      </c>
      <c r="D560" s="1681"/>
      <c r="E560" s="1681"/>
      <c r="F560" s="1681"/>
      <c r="G560" s="1681"/>
      <c r="H560" s="1681"/>
      <c r="I560" s="1681"/>
      <c r="J560" s="1681"/>
      <c r="K560" s="1681"/>
      <c r="L560" s="1681"/>
      <c r="M560" s="1693" t="s">
        <v>2106</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v>3953719</v>
      </c>
      <c r="AN560" s="1669"/>
      <c r="AO560" s="1669"/>
      <c r="AP560" s="1669"/>
      <c r="AQ560" s="1669"/>
      <c r="AR560" s="1669"/>
      <c r="AS560" s="1670"/>
      <c r="AT560" s="1148" t="str">
        <f t="shared" si="0"/>
        <v/>
      </c>
      <c r="AU560" s="1147"/>
      <c r="BB560" s="3"/>
      <c r="BC560" s="3"/>
      <c r="BD560" s="3"/>
      <c r="BE560" s="3"/>
      <c r="BF560" s="3"/>
      <c r="BG560" s="3"/>
      <c r="BH560" s="3"/>
      <c r="BI560" s="3"/>
    </row>
    <row r="561" spans="1:61" ht="12.9" customHeight="1">
      <c r="B561" s="52" t="s">
        <v>457</v>
      </c>
      <c r="C561" s="1681"/>
      <c r="D561" s="1681"/>
      <c r="E561" s="1681"/>
      <c r="F561" s="1681"/>
      <c r="G561" s="1681"/>
      <c r="H561" s="1681"/>
      <c r="I561" s="1681"/>
      <c r="J561" s="1681"/>
      <c r="K561" s="1681"/>
      <c r="L561" s="1681"/>
      <c r="M561" s="1693"/>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41608812</v>
      </c>
      <c r="AN566" s="1616"/>
      <c r="AO566" s="1616"/>
      <c r="AP566" s="1616"/>
      <c r="AQ566" s="1616"/>
      <c r="AR566" s="1616"/>
      <c r="AS566" s="1617"/>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359" t="str">
        <f>C554</f>
        <v>Berkadia - Tax Exempt Loan</v>
      </c>
      <c r="H568" s="1359"/>
      <c r="I568" s="1359"/>
      <c r="J568" s="1359"/>
      <c r="K568" s="1359"/>
      <c r="L568" s="1359"/>
      <c r="M568" s="1359"/>
      <c r="N568" s="1359"/>
      <c r="O568" s="1359"/>
      <c r="P568" s="1359"/>
      <c r="Q568" s="1359"/>
      <c r="R568" s="1359"/>
      <c r="S568" s="8"/>
      <c r="T568" s="55" t="s">
        <v>113</v>
      </c>
      <c r="U568" t="s">
        <v>464</v>
      </c>
      <c r="Z568" s="1359" t="str">
        <f>C555</f>
        <v>Berkadia - Taxable Tail</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417" t="s">
        <v>2701</v>
      </c>
      <c r="H569" s="1372"/>
      <c r="I569" s="1372"/>
      <c r="J569" s="1372"/>
      <c r="K569" s="1372"/>
      <c r="L569" s="1372"/>
      <c r="M569" s="1372"/>
      <c r="N569" s="1372"/>
      <c r="O569" s="1372"/>
      <c r="P569" s="1372"/>
      <c r="Q569" s="1372"/>
      <c r="R569" s="1372"/>
      <c r="S569" s="8"/>
      <c r="T569" s="22"/>
      <c r="U569" t="s">
        <v>85</v>
      </c>
      <c r="Z569" s="1417" t="s">
        <v>2701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 customHeight="1">
      <c r="A570" s="22"/>
      <c r="B570" t="s">
        <v>581</v>
      </c>
      <c r="G570" s="1417" t="s">
        <v>2702</v>
      </c>
      <c r="H570" s="1372"/>
      <c r="I570" s="1372"/>
      <c r="J570" s="1372"/>
      <c r="K570" s="1372"/>
      <c r="L570" s="1372"/>
      <c r="M570" s="1372"/>
      <c r="N570" s="1372"/>
      <c r="O570" s="1372"/>
      <c r="P570" s="1372"/>
      <c r="Q570" s="1372"/>
      <c r="R570" s="1372"/>
      <c r="T570" s="22"/>
      <c r="U570" t="s">
        <v>581</v>
      </c>
      <c r="Z570" s="1458" t="s">
        <v>2702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417" t="s">
        <v>2703</v>
      </c>
      <c r="H571" s="1372"/>
      <c r="I571" s="1372"/>
      <c r="J571" s="1372"/>
      <c r="K571" s="1372"/>
      <c r="L571" s="1372"/>
      <c r="M571" s="1372"/>
      <c r="N571" s="1372"/>
      <c r="O571" s="1372"/>
      <c r="P571" s="1372"/>
      <c r="Q571" s="1372"/>
      <c r="R571" s="1372"/>
      <c r="S571" s="8"/>
      <c r="T571" s="22"/>
      <c r="U571" t="s">
        <v>17</v>
      </c>
      <c r="Z571" s="1458" t="s">
        <v>2703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316</v>
      </c>
      <c r="G572" s="1346" t="s">
        <v>2704</v>
      </c>
      <c r="H572" s="1347"/>
      <c r="I572" s="1347"/>
      <c r="J572" s="1347"/>
      <c r="K572" s="1347"/>
      <c r="L572" s="1347"/>
      <c r="O572" s="33" t="s">
        <v>206</v>
      </c>
      <c r="P572" s="1437"/>
      <c r="Q572" s="1437"/>
      <c r="R572" s="1437"/>
      <c r="S572" s="10"/>
      <c r="T572" s="22"/>
      <c r="U572" t="s">
        <v>316</v>
      </c>
      <c r="Z572" s="1346" t="s">
        <v>2704</v>
      </c>
      <c r="AA572" s="1347"/>
      <c r="AB572" s="1347"/>
      <c r="AC572" s="1347"/>
      <c r="AD572" s="1347"/>
      <c r="AE572" s="1347"/>
      <c r="AH572" s="33" t="s">
        <v>206</v>
      </c>
      <c r="AI572" s="1437"/>
      <c r="AJ572" s="1437"/>
      <c r="AK572" s="1437"/>
      <c r="BB572" s="3"/>
      <c r="BC572" s="3"/>
      <c r="BD572" s="3"/>
      <c r="BE572" s="3"/>
      <c r="BF572" s="3"/>
      <c r="BG572" s="3"/>
      <c r="BH572" s="3"/>
      <c r="BI572" s="3"/>
    </row>
    <row r="573" spans="1:61" ht="12.9" customHeight="1">
      <c r="A573" s="22"/>
      <c r="B573" t="s">
        <v>18</v>
      </c>
      <c r="H573" s="1417" t="s">
        <v>2705</v>
      </c>
      <c r="I573" s="1372"/>
      <c r="J573" s="1372"/>
      <c r="K573" s="1372"/>
      <c r="L573" s="1372"/>
      <c r="M573" s="1372"/>
      <c r="N573" s="1372"/>
      <c r="O573" s="1372"/>
      <c r="P573" s="1372"/>
      <c r="Q573" s="1372"/>
      <c r="R573" s="1372"/>
      <c r="S573" s="8"/>
      <c r="T573" s="22"/>
      <c r="U573" t="s">
        <v>18</v>
      </c>
      <c r="AA573" s="1417" t="s">
        <v>2707</v>
      </c>
      <c r="AB573" s="1372"/>
      <c r="AC573" s="1372"/>
      <c r="AD573" s="1372"/>
      <c r="AE573" s="1372"/>
      <c r="AF573" s="1372"/>
      <c r="AG573" s="1372"/>
      <c r="AH573" s="1372"/>
      <c r="AI573" s="1372"/>
      <c r="AJ573" s="1372"/>
      <c r="AK573" s="1372"/>
      <c r="BB573" s="3"/>
      <c r="BC573" s="3"/>
      <c r="BD573" s="3"/>
      <c r="BE573" s="3"/>
      <c r="BF573" s="3"/>
      <c r="BG573" s="3"/>
      <c r="BH573" s="3"/>
      <c r="BI573" s="3"/>
    </row>
    <row r="574" spans="1:61" ht="12.9" customHeight="1">
      <c r="A574" s="22"/>
      <c r="B574" s="320" t="s">
        <v>1186</v>
      </c>
      <c r="H574" s="8"/>
      <c r="I574" s="8"/>
      <c r="J574" s="8"/>
      <c r="K574" s="8"/>
      <c r="L574" s="8"/>
      <c r="M574" s="1696" t="s">
        <v>2706</v>
      </c>
      <c r="N574" s="1697"/>
      <c r="O574" s="1697"/>
      <c r="P574" s="1697"/>
      <c r="Q574" s="1697"/>
      <c r="R574" s="1697"/>
      <c r="S574" s="8"/>
      <c r="T574" s="22"/>
      <c r="U574" s="320" t="s">
        <v>1186</v>
      </c>
      <c r="AA574" s="8"/>
      <c r="AB574" s="8"/>
      <c r="AC574" s="8"/>
      <c r="AD574" s="8"/>
      <c r="AE574" s="8"/>
      <c r="AF574" s="1696" t="s">
        <v>2706</v>
      </c>
      <c r="AG574" s="1697"/>
      <c r="AH574" s="1697"/>
      <c r="AI574" s="1697"/>
      <c r="AJ574" s="1697"/>
      <c r="AK574" s="1697"/>
      <c r="BB574" s="3"/>
      <c r="BC574" s="3"/>
      <c r="BD574" s="3"/>
      <c r="BE574" s="3"/>
      <c r="BF574" s="3"/>
      <c r="BG574" s="3"/>
      <c r="BH574" s="3"/>
      <c r="BI574" s="3"/>
    </row>
    <row r="575" spans="1:61" ht="12.9" customHeight="1">
      <c r="A575" s="22"/>
      <c r="B575" t="s">
        <v>20</v>
      </c>
      <c r="N575" s="1332" t="s">
        <v>546</v>
      </c>
      <c r="O575" s="1332"/>
      <c r="T575" s="22"/>
      <c r="U575" t="s">
        <v>20</v>
      </c>
      <c r="AG575" s="1332" t="s">
        <v>546</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359" t="str">
        <f>C556</f>
        <v>Berkadia - Taxable Bridge Loan</v>
      </c>
      <c r="H577" s="1359"/>
      <c r="I577" s="1359"/>
      <c r="J577" s="1359"/>
      <c r="K577" s="1359"/>
      <c r="L577" s="1359"/>
      <c r="M577" s="1359"/>
      <c r="N577" s="1359"/>
      <c r="O577" s="1359"/>
      <c r="P577" s="1359"/>
      <c r="Q577" s="1359"/>
      <c r="R577" s="1359"/>
      <c r="T577" s="55" t="s">
        <v>582</v>
      </c>
      <c r="U577" t="s">
        <v>464</v>
      </c>
      <c r="Z577" s="1359" t="str">
        <f>C557</f>
        <v>Enterprise Housing Credit Inv.</v>
      </c>
      <c r="AA577" s="1359"/>
      <c r="AB577" s="1359"/>
      <c r="AC577" s="1359"/>
      <c r="AD577" s="1359"/>
      <c r="AE577" s="1359"/>
      <c r="AF577" s="1359"/>
      <c r="AG577" s="1359"/>
      <c r="AH577" s="1359"/>
      <c r="AI577" s="1359"/>
      <c r="AJ577" s="1359"/>
      <c r="AK577" s="1359"/>
      <c r="BB577" s="3"/>
      <c r="BC577" s="3"/>
    </row>
    <row r="578" spans="1:55" ht="12.9" customHeight="1">
      <c r="A578" s="22"/>
      <c r="B578" t="s">
        <v>85</v>
      </c>
      <c r="G578" s="1417" t="s">
        <v>2665</v>
      </c>
      <c r="H578" s="1372"/>
      <c r="I578" s="1372"/>
      <c r="J578" s="1372"/>
      <c r="K578" s="1372"/>
      <c r="L578" s="1372"/>
      <c r="M578" s="1372"/>
      <c r="N578" s="1372"/>
      <c r="O578" s="1372"/>
      <c r="P578" s="1372"/>
      <c r="Q578" s="1372"/>
      <c r="R578" s="1372"/>
      <c r="T578" s="22"/>
      <c r="U578" t="s">
        <v>85</v>
      </c>
      <c r="Z578" s="1417" t="s">
        <v>2665</v>
      </c>
      <c r="AA578" s="1372"/>
      <c r="AB578" s="1372"/>
      <c r="AC578" s="1372"/>
      <c r="AD578" s="1372"/>
      <c r="AE578" s="1372"/>
      <c r="AF578" s="1372"/>
      <c r="AG578" s="1372"/>
      <c r="AH578" s="1372"/>
      <c r="AI578" s="1372"/>
      <c r="AJ578" s="1372"/>
      <c r="AK578" s="1372"/>
      <c r="BB578" s="3"/>
      <c r="BC578" s="3"/>
    </row>
    <row r="579" spans="1:55" ht="12.9" customHeight="1">
      <c r="A579" s="22"/>
      <c r="B579" t="s">
        <v>581</v>
      </c>
      <c r="G579" s="1458" t="s">
        <v>2708</v>
      </c>
      <c r="H579" s="1349"/>
      <c r="I579" s="1349"/>
      <c r="J579" s="1349"/>
      <c r="K579" s="1349"/>
      <c r="L579" s="1349"/>
      <c r="M579" s="1349"/>
      <c r="N579" s="1349"/>
      <c r="O579" s="1349"/>
      <c r="P579" s="1349"/>
      <c r="Q579" s="1349"/>
      <c r="R579" s="1349"/>
      <c r="T579" s="22"/>
      <c r="U579" t="s">
        <v>581</v>
      </c>
      <c r="Z579" s="1458" t="s">
        <v>2708</v>
      </c>
      <c r="AA579" s="1349"/>
      <c r="AB579" s="1349"/>
      <c r="AC579" s="1349"/>
      <c r="AD579" s="1349"/>
      <c r="AE579" s="1349"/>
      <c r="AF579" s="1349"/>
      <c r="AG579" s="1349"/>
      <c r="AH579" s="1349"/>
      <c r="AI579" s="1349"/>
      <c r="AJ579" s="1349"/>
      <c r="AK579" s="1349"/>
      <c r="BB579" s="3"/>
      <c r="BC579" s="3"/>
    </row>
    <row r="580" spans="1:55" ht="12.9" customHeight="1">
      <c r="A580" s="22"/>
      <c r="B580" t="s">
        <v>17</v>
      </c>
      <c r="G580" s="1458" t="s">
        <v>2721</v>
      </c>
      <c r="H580" s="1349"/>
      <c r="I580" s="1349"/>
      <c r="J580" s="1349"/>
      <c r="K580" s="1349"/>
      <c r="L580" s="1349"/>
      <c r="M580" s="1349"/>
      <c r="N580" s="1349"/>
      <c r="O580" s="1349"/>
      <c r="P580" s="1349"/>
      <c r="Q580" s="1349"/>
      <c r="R580" s="1349"/>
      <c r="T580" s="22"/>
      <c r="U580" t="s">
        <v>17</v>
      </c>
      <c r="Z580" s="1458" t="s">
        <v>2667</v>
      </c>
      <c r="AA580" s="1349"/>
      <c r="AB580" s="1349"/>
      <c r="AC580" s="1349"/>
      <c r="AD580" s="1349"/>
      <c r="AE580" s="1349"/>
      <c r="AF580" s="1349"/>
      <c r="AG580" s="1349"/>
      <c r="AH580" s="1349"/>
      <c r="AI580" s="1349"/>
      <c r="AJ580" s="1349"/>
      <c r="AK580" s="1349"/>
      <c r="BB580" s="3"/>
      <c r="BC580" s="3"/>
    </row>
    <row r="581" spans="1:55" ht="12.9" customHeight="1">
      <c r="A581" s="22"/>
      <c r="B581" t="s">
        <v>316</v>
      </c>
      <c r="G581" s="1346">
        <v>2137878201</v>
      </c>
      <c r="H581" s="1347"/>
      <c r="I581" s="1347"/>
      <c r="J581" s="1347"/>
      <c r="K581" s="1347"/>
      <c r="L581" s="1347"/>
      <c r="O581" s="33" t="s">
        <v>206</v>
      </c>
      <c r="P581" s="1437"/>
      <c r="Q581" s="1437"/>
      <c r="R581" s="1437"/>
      <c r="T581" s="22"/>
      <c r="U581" t="s">
        <v>316</v>
      </c>
      <c r="Z581" s="1346" t="s">
        <v>2709</v>
      </c>
      <c r="AA581" s="1347"/>
      <c r="AB581" s="1347"/>
      <c r="AC581" s="1347"/>
      <c r="AD581" s="1347"/>
      <c r="AE581" s="1347"/>
      <c r="AH581" s="33" t="s">
        <v>206</v>
      </c>
      <c r="AI581" s="1437"/>
      <c r="AJ581" s="1437"/>
      <c r="AK581" s="1437"/>
      <c r="BB581" s="3"/>
      <c r="BC581" s="3"/>
    </row>
    <row r="582" spans="1:55" ht="12.9" customHeight="1">
      <c r="A582" s="22"/>
      <c r="B582" t="s">
        <v>18</v>
      </c>
      <c r="H582" s="1417" t="s">
        <v>2722</v>
      </c>
      <c r="I582" s="1372"/>
      <c r="J582" s="1372"/>
      <c r="K582" s="1372"/>
      <c r="L582" s="1372"/>
      <c r="M582" s="1372"/>
      <c r="N582" s="1372"/>
      <c r="O582" s="1372"/>
      <c r="P582" s="1372"/>
      <c r="Q582" s="1372"/>
      <c r="R582" s="1372"/>
      <c r="T582" s="22"/>
      <c r="U582" t="s">
        <v>18</v>
      </c>
      <c r="AA582" s="1417" t="s">
        <v>2710</v>
      </c>
      <c r="AB582" s="1372"/>
      <c r="AC582" s="1372"/>
      <c r="AD582" s="1372"/>
      <c r="AE582" s="1372"/>
      <c r="AF582" s="1372"/>
      <c r="AG582" s="1372"/>
      <c r="AH582" s="1372"/>
      <c r="AI582" s="1372"/>
      <c r="AJ582" s="1372"/>
      <c r="AK582" s="1372"/>
      <c r="BB582" s="3"/>
      <c r="BC582" s="3"/>
    </row>
    <row r="583" spans="1:55" ht="12.9" customHeight="1">
      <c r="A583" s="22"/>
      <c r="B583" t="s">
        <v>20</v>
      </c>
      <c r="N583" s="1332" t="s">
        <v>546</v>
      </c>
      <c r="O583" s="1332"/>
      <c r="T583" s="22"/>
      <c r="U583" t="s">
        <v>20</v>
      </c>
      <c r="AG583" s="1332" t="s">
        <v>546</v>
      </c>
      <c r="AH583" s="1332"/>
      <c r="BB583" s="3"/>
      <c r="BC583" s="3"/>
    </row>
    <row r="584" spans="1:55" ht="12.9" customHeight="1">
      <c r="A584" s="22"/>
      <c r="T584" s="22"/>
      <c r="BB584" s="3"/>
      <c r="BC584" s="3"/>
    </row>
    <row r="585" spans="1:55" ht="12.9" customHeight="1">
      <c r="A585" s="55" t="s">
        <v>764</v>
      </c>
      <c r="B585" t="s">
        <v>464</v>
      </c>
      <c r="G585" s="1359" t="str">
        <f>C558</f>
        <v>NOI During Rehab</v>
      </c>
      <c r="H585" s="1359"/>
      <c r="I585" s="1359"/>
      <c r="J585" s="1359"/>
      <c r="K585" s="1359"/>
      <c r="L585" s="1359"/>
      <c r="M585" s="1359"/>
      <c r="N585" s="1359"/>
      <c r="O585" s="1359"/>
      <c r="P585" s="1359"/>
      <c r="Q585" s="1359"/>
      <c r="R585" s="1359"/>
      <c r="T585" s="55" t="s">
        <v>585</v>
      </c>
      <c r="U585" t="s">
        <v>464</v>
      </c>
      <c r="Z585" s="1359" t="str">
        <f>C559</f>
        <v>Seller Carryback Loan</v>
      </c>
      <c r="AA585" s="1359"/>
      <c r="AB585" s="1359"/>
      <c r="AC585" s="1359"/>
      <c r="AD585" s="1359"/>
      <c r="AE585" s="1359"/>
      <c r="AF585" s="1359"/>
      <c r="AG585" s="1359"/>
      <c r="AH585" s="1359"/>
      <c r="AI585" s="1359"/>
      <c r="AJ585" s="1359"/>
      <c r="AK585" s="1359"/>
      <c r="BB585" s="3"/>
      <c r="BC585" s="3"/>
    </row>
    <row r="586" spans="1:55" ht="12.9" customHeight="1">
      <c r="A586" s="22"/>
      <c r="B586" t="s">
        <v>85</v>
      </c>
      <c r="G586" s="1417" t="s">
        <v>2622</v>
      </c>
      <c r="H586" s="1372"/>
      <c r="I586" s="1372"/>
      <c r="J586" s="1372"/>
      <c r="K586" s="1372"/>
      <c r="L586" s="1372"/>
      <c r="M586" s="1372"/>
      <c r="N586" s="1372"/>
      <c r="O586" s="1372"/>
      <c r="P586" s="1372"/>
      <c r="Q586" s="1372"/>
      <c r="R586" s="1372"/>
      <c r="T586" s="22"/>
      <c r="U586" t="s">
        <v>85</v>
      </c>
      <c r="Z586" s="1417" t="s">
        <v>2622</v>
      </c>
      <c r="AA586" s="1372"/>
      <c r="AB586" s="1372"/>
      <c r="AC586" s="1372"/>
      <c r="AD586" s="1372"/>
      <c r="AE586" s="1372"/>
      <c r="AF586" s="1372"/>
      <c r="AG586" s="1372"/>
      <c r="AH586" s="1372"/>
      <c r="AI586" s="1372"/>
      <c r="AJ586" s="1372"/>
      <c r="AK586" s="1372"/>
      <c r="BB586" s="3"/>
      <c r="BC586" s="3"/>
    </row>
    <row r="587" spans="1:55" ht="12.9" customHeight="1">
      <c r="A587" s="22"/>
      <c r="B587" t="s">
        <v>581</v>
      </c>
      <c r="G587" s="1417" t="s">
        <v>2638</v>
      </c>
      <c r="H587" s="1372"/>
      <c r="I587" s="1372"/>
      <c r="J587" s="1372"/>
      <c r="K587" s="1372"/>
      <c r="L587" s="1372"/>
      <c r="M587" s="1372"/>
      <c r="N587" s="1372"/>
      <c r="O587" s="1372"/>
      <c r="P587" s="1372"/>
      <c r="Q587" s="1372"/>
      <c r="R587" s="1372"/>
      <c r="T587" s="22"/>
      <c r="U587" t="s">
        <v>581</v>
      </c>
      <c r="Z587" s="1458" t="s">
        <v>2638</v>
      </c>
      <c r="AA587" s="1349"/>
      <c r="AB587" s="1349"/>
      <c r="AC587" s="1349"/>
      <c r="AD587" s="1349"/>
      <c r="AE587" s="1349"/>
      <c r="AF587" s="1349"/>
      <c r="AG587" s="1349"/>
      <c r="AH587" s="1349"/>
      <c r="AI587" s="1349"/>
      <c r="AJ587" s="1349"/>
      <c r="AK587" s="1349"/>
      <c r="BB587" s="3"/>
      <c r="BC587" s="3"/>
    </row>
    <row r="588" spans="1:55" ht="12.9" customHeight="1">
      <c r="A588" s="22"/>
      <c r="B588" t="s">
        <v>17</v>
      </c>
      <c r="G588" s="1417" t="s">
        <v>2624</v>
      </c>
      <c r="H588" s="1372"/>
      <c r="I588" s="1372"/>
      <c r="J588" s="1372"/>
      <c r="K588" s="1372"/>
      <c r="L588" s="1372"/>
      <c r="M588" s="1372"/>
      <c r="N588" s="1372"/>
      <c r="O588" s="1372"/>
      <c r="P588" s="1372"/>
      <c r="Q588" s="1372"/>
      <c r="R588" s="1372"/>
      <c r="T588" s="22"/>
      <c r="U588" t="s">
        <v>17</v>
      </c>
      <c r="Z588" s="1458" t="s">
        <v>2624</v>
      </c>
      <c r="AA588" s="1349"/>
      <c r="AB588" s="1349"/>
      <c r="AC588" s="1349"/>
      <c r="AD588" s="1349"/>
      <c r="AE588" s="1349"/>
      <c r="AF588" s="1349"/>
      <c r="AG588" s="1349"/>
      <c r="AH588" s="1349"/>
      <c r="AI588" s="1349"/>
      <c r="AJ588" s="1349"/>
      <c r="AK588" s="1349"/>
    </row>
    <row r="589" spans="1:55" ht="12.9" customHeight="1">
      <c r="A589" s="22"/>
      <c r="B589" t="s">
        <v>316</v>
      </c>
      <c r="G589" s="1346" t="s">
        <v>2712</v>
      </c>
      <c r="H589" s="1347"/>
      <c r="I589" s="1347"/>
      <c r="J589" s="1347"/>
      <c r="K589" s="1347"/>
      <c r="L589" s="1347"/>
      <c r="O589" s="33" t="s">
        <v>206</v>
      </c>
      <c r="P589" s="1437"/>
      <c r="Q589" s="1437"/>
      <c r="R589" s="1437"/>
      <c r="T589" s="22"/>
      <c r="U589" t="s">
        <v>316</v>
      </c>
      <c r="Z589" s="1346" t="s">
        <v>2712</v>
      </c>
      <c r="AA589" s="1347"/>
      <c r="AB589" s="1347"/>
      <c r="AC589" s="1347"/>
      <c r="AD589" s="1347"/>
      <c r="AE589" s="1347"/>
      <c r="AH589" s="33" t="s">
        <v>206</v>
      </c>
      <c r="AI589" s="1437"/>
      <c r="AJ589" s="1437"/>
      <c r="AK589" s="1437"/>
      <c r="AZ589" s="3"/>
      <c r="BA589" s="3"/>
      <c r="BB589" s="3"/>
      <c r="BC589" s="3"/>
    </row>
    <row r="590" spans="1:55" ht="12.9" customHeight="1">
      <c r="A590" s="22"/>
      <c r="B590" t="s">
        <v>18</v>
      </c>
      <c r="H590" s="1417" t="s">
        <v>2699</v>
      </c>
      <c r="I590" s="1372"/>
      <c r="J590" s="1372"/>
      <c r="K590" s="1372"/>
      <c r="L590" s="1372"/>
      <c r="M590" s="1372"/>
      <c r="N590" s="1372"/>
      <c r="O590" s="1372"/>
      <c r="P590" s="1372"/>
      <c r="Q590" s="1372"/>
      <c r="R590" s="1372"/>
      <c r="T590" s="22"/>
      <c r="U590" t="s">
        <v>18</v>
      </c>
      <c r="AA590" s="1417" t="s">
        <v>2699</v>
      </c>
      <c r="AB590" s="1372"/>
      <c r="AC590" s="1372"/>
      <c r="AD590" s="1372"/>
      <c r="AE590" s="1372"/>
      <c r="AF590" s="1372"/>
      <c r="AG590" s="1372"/>
      <c r="AH590" s="1372"/>
      <c r="AI590" s="1372"/>
      <c r="AJ590" s="1372"/>
      <c r="AK590" s="1372"/>
      <c r="AZ590" s="3"/>
      <c r="BA590" s="3"/>
      <c r="BB590" s="3"/>
      <c r="BC590" s="3"/>
    </row>
    <row r="591" spans="1:55" ht="12.9" customHeight="1">
      <c r="A591" s="22"/>
      <c r="B591" t="s">
        <v>20</v>
      </c>
      <c r="N591" s="1332" t="s">
        <v>546</v>
      </c>
      <c r="O591" s="1332"/>
      <c r="T591" s="22"/>
      <c r="U591" t="s">
        <v>20</v>
      </c>
      <c r="AG591" s="1332" t="s">
        <v>546</v>
      </c>
      <c r="AH591" s="1332"/>
      <c r="AZ591" s="3"/>
      <c r="BA591" s="3"/>
      <c r="BB591" s="3"/>
      <c r="BC591" s="3"/>
    </row>
    <row r="592" spans="1:55" ht="12.9" customHeight="1">
      <c r="A592" s="22"/>
      <c r="T592" s="22"/>
      <c r="AZ592" s="3"/>
      <c r="BA592" s="3"/>
      <c r="BB592" s="3"/>
      <c r="BC592" s="3"/>
    </row>
    <row r="593" spans="1:55" ht="12.9" customHeight="1">
      <c r="A593" s="55" t="s">
        <v>456</v>
      </c>
      <c r="B593" t="s">
        <v>464</v>
      </c>
      <c r="G593" s="1359" t="str">
        <f>C560</f>
        <v>Deferred to Permanent</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 customHeight="1">
      <c r="A599" s="22"/>
      <c r="B599" t="s">
        <v>20</v>
      </c>
      <c r="N599" s="1332" t="s">
        <v>670</v>
      </c>
      <c r="O599" s="1332"/>
      <c r="T599" s="22"/>
      <c r="U599" t="s">
        <v>20</v>
      </c>
      <c r="AG599" s="1332" t="s">
        <v>670</v>
      </c>
      <c r="AH599" s="1332"/>
      <c r="BB599" s="3"/>
      <c r="BC599" s="3"/>
    </row>
    <row r="600" spans="1:55" ht="12.9" customHeight="1">
      <c r="A600" s="22"/>
      <c r="T600" s="22"/>
      <c r="BB600" s="3"/>
      <c r="BC600" s="3"/>
    </row>
    <row r="601" spans="1:55" ht="12.9"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 customHeight="1">
      <c r="B615" t="s">
        <v>20</v>
      </c>
      <c r="N615" s="1332" t="s">
        <v>670</v>
      </c>
      <c r="O615" s="1332"/>
      <c r="U615" t="s">
        <v>20</v>
      </c>
      <c r="AG615" s="1332" t="s">
        <v>670</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701" t="s">
        <v>2103</v>
      </c>
      <c r="C624" s="1701"/>
      <c r="D624" s="1701"/>
      <c r="E624" s="1701"/>
      <c r="F624" s="1701"/>
      <c r="G624" s="1701"/>
      <c r="H624" s="1701"/>
      <c r="I624" s="1701"/>
      <c r="J624" s="1701"/>
      <c r="K624" s="1701"/>
      <c r="L624" s="1701"/>
      <c r="M624" s="1442" t="s">
        <v>2104</v>
      </c>
      <c r="N624" s="1442"/>
      <c r="O624" s="1442"/>
      <c r="P624" s="1442"/>
      <c r="Q624" s="1442" t="s">
        <v>1853</v>
      </c>
      <c r="R624" s="1442"/>
      <c r="S624" s="1442"/>
      <c r="T624" s="1442" t="s">
        <v>1851</v>
      </c>
      <c r="U624" s="1442"/>
      <c r="V624" s="1442"/>
      <c r="W624" s="1702" t="s">
        <v>454</v>
      </c>
      <c r="X624" s="1702"/>
      <c r="Y624" s="1702"/>
      <c r="Z624" s="1431" t="s">
        <v>2133</v>
      </c>
      <c r="AA624" s="1431"/>
      <c r="AB624" s="1432"/>
      <c r="AC624" s="1682" t="s">
        <v>1677</v>
      </c>
      <c r="AD624" s="1683"/>
      <c r="AE624" s="1684"/>
      <c r="AF624" s="1672" t="s">
        <v>1931</v>
      </c>
      <c r="AG624" s="1431"/>
      <c r="AH624" s="1431"/>
      <c r="AI624" s="1431"/>
      <c r="AJ624" s="1432"/>
      <c r="AK624" s="1734" t="s">
        <v>1932</v>
      </c>
      <c r="AL624" s="1735"/>
      <c r="AM624" s="1735"/>
      <c r="AN624" s="1736"/>
      <c r="AO624" s="1442" t="s">
        <v>455</v>
      </c>
      <c r="AP624" s="1442"/>
      <c r="AQ624" s="1442"/>
      <c r="AR624" s="1442"/>
      <c r="AS624" s="1442"/>
      <c r="AU624" s="3"/>
      <c r="AZ624" s="3"/>
      <c r="BA624" s="3"/>
      <c r="BB624" s="3"/>
      <c r="BC624" s="3"/>
    </row>
    <row r="625" spans="2:157" ht="12.9"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 customHeight="1">
      <c r="B627" s="51" t="s">
        <v>112</v>
      </c>
      <c r="C627" s="1692" t="s">
        <v>2713</v>
      </c>
      <c r="D627" s="1692"/>
      <c r="E627" s="1692"/>
      <c r="F627" s="1692"/>
      <c r="G627" s="1692"/>
      <c r="H627" s="1692"/>
      <c r="I627" s="1692"/>
      <c r="J627" s="1692"/>
      <c r="K627" s="1692"/>
      <c r="L627" s="1692"/>
      <c r="M627" s="1618" t="s">
        <v>2114</v>
      </c>
      <c r="N627" s="1618"/>
      <c r="O627" s="1618"/>
      <c r="P627" s="1618"/>
      <c r="Q627" s="1426">
        <v>204</v>
      </c>
      <c r="R627" s="1426"/>
      <c r="S627" s="1427"/>
      <c r="T627" s="1425">
        <v>480</v>
      </c>
      <c r="U627" s="1426"/>
      <c r="V627" s="1427"/>
      <c r="W627" s="1438">
        <v>6.3299999999999995E-2</v>
      </c>
      <c r="X627" s="1439"/>
      <c r="Y627" s="1440"/>
      <c r="Z627" s="1479" t="s">
        <v>1185</v>
      </c>
      <c r="AA627" s="1480"/>
      <c r="AB627" s="1481"/>
      <c r="AC627" s="1446">
        <v>1</v>
      </c>
      <c r="AD627" s="1447"/>
      <c r="AE627" s="1448"/>
      <c r="AF627" s="1476">
        <v>1100906</v>
      </c>
      <c r="AG627" s="1477"/>
      <c r="AH627" s="1477"/>
      <c r="AI627" s="1477"/>
      <c r="AJ627" s="1478"/>
      <c r="AK627" s="1428">
        <v>0</v>
      </c>
      <c r="AL627" s="1429"/>
      <c r="AM627" s="1429"/>
      <c r="AN627" s="1430"/>
      <c r="AO627" s="1482">
        <v>16000000</v>
      </c>
      <c r="AP627" s="1482"/>
      <c r="AQ627" s="1482"/>
      <c r="AR627" s="1482"/>
      <c r="AS627" s="1482"/>
      <c r="AT627" s="3"/>
      <c r="AU627" s="3"/>
      <c r="AZ627" s="3"/>
      <c r="BA627" s="3"/>
      <c r="BB627" s="3"/>
      <c r="BC627" s="3"/>
      <c r="BD627" s="3"/>
    </row>
    <row r="628" spans="2:157" ht="12.9" customHeight="1">
      <c r="B628" s="52" t="s">
        <v>113</v>
      </c>
      <c r="C628" s="1692" t="s">
        <v>2699</v>
      </c>
      <c r="D628" s="1692"/>
      <c r="E628" s="1692"/>
      <c r="F628" s="1692"/>
      <c r="G628" s="1692"/>
      <c r="H628" s="1692"/>
      <c r="I628" s="1692"/>
      <c r="J628" s="1692"/>
      <c r="K628" s="1692"/>
      <c r="L628" s="1692"/>
      <c r="M628" s="1618" t="s">
        <v>2123</v>
      </c>
      <c r="N628" s="1618"/>
      <c r="O628" s="1618"/>
      <c r="P628" s="1618"/>
      <c r="Q628" s="1425"/>
      <c r="R628" s="1426"/>
      <c r="S628" s="1427"/>
      <c r="T628" s="1425"/>
      <c r="U628" s="1426"/>
      <c r="V628" s="1427"/>
      <c r="W628" s="1438"/>
      <c r="X628" s="1439"/>
      <c r="Y628" s="1440"/>
      <c r="Z628" s="1479" t="s">
        <v>1185</v>
      </c>
      <c r="AA628" s="1480"/>
      <c r="AB628" s="1481"/>
      <c r="AC628" s="1446"/>
      <c r="AD628" s="1447"/>
      <c r="AE628" s="1448"/>
      <c r="AF628" s="1476"/>
      <c r="AG628" s="1477"/>
      <c r="AH628" s="1477"/>
      <c r="AI628" s="1477"/>
      <c r="AJ628" s="1478"/>
      <c r="AK628" s="1428"/>
      <c r="AL628" s="1429"/>
      <c r="AM628" s="1429"/>
      <c r="AN628" s="1430"/>
      <c r="AO628" s="1467">
        <v>1500000</v>
      </c>
      <c r="AP628" s="1468"/>
      <c r="AQ628" s="1468"/>
      <c r="AR628" s="1468"/>
      <c r="AS628" s="1469"/>
      <c r="AT628" s="1148" t="str">
        <f>IF(AND(NOT(C627=""),C628="",NOT(C629="")),"!","")</f>
        <v/>
      </c>
      <c r="AU628" s="3"/>
      <c r="AZ628" s="3"/>
      <c r="BA628" s="3"/>
      <c r="BB628" s="3"/>
      <c r="BC628" s="3"/>
      <c r="BD628" s="3"/>
    </row>
    <row r="629" spans="2:157" ht="12.9" customHeight="1">
      <c r="B629" s="52" t="s">
        <v>119</v>
      </c>
      <c r="C629" s="1692" t="s">
        <v>2711</v>
      </c>
      <c r="D629" s="1692"/>
      <c r="E629" s="1692"/>
      <c r="F629" s="1692"/>
      <c r="G629" s="1692"/>
      <c r="H629" s="1692"/>
      <c r="I629" s="1692"/>
      <c r="J629" s="1692"/>
      <c r="K629" s="1692"/>
      <c r="L629" s="1692"/>
      <c r="M629" s="1618" t="s">
        <v>2117</v>
      </c>
      <c r="N629" s="1618"/>
      <c r="O629" s="1618"/>
      <c r="P629" s="1618"/>
      <c r="Q629" s="1425"/>
      <c r="R629" s="1426"/>
      <c r="S629" s="1427"/>
      <c r="T629" s="1425"/>
      <c r="U629" s="1426"/>
      <c r="V629" s="1427"/>
      <c r="W629" s="1438"/>
      <c r="X629" s="1439"/>
      <c r="Y629" s="1440"/>
      <c r="Z629" s="1479" t="s">
        <v>1185</v>
      </c>
      <c r="AA629" s="1480"/>
      <c r="AB629" s="1481"/>
      <c r="AC629" s="1446"/>
      <c r="AD629" s="1447"/>
      <c r="AE629" s="1448"/>
      <c r="AF629" s="1476"/>
      <c r="AG629" s="1477"/>
      <c r="AH629" s="1477"/>
      <c r="AI629" s="1477"/>
      <c r="AJ629" s="1478"/>
      <c r="AK629" s="1428"/>
      <c r="AL629" s="1429"/>
      <c r="AM629" s="1429"/>
      <c r="AN629" s="1430"/>
      <c r="AO629" s="1467">
        <v>8500000</v>
      </c>
      <c r="AP629" s="1468"/>
      <c r="AQ629" s="1468"/>
      <c r="AR629" s="1468"/>
      <c r="AS629" s="1469"/>
      <c r="AT629" s="1148" t="str">
        <f t="shared" ref="AT629:AT638" si="1">IF(AND(NOT(C628=""),C629="",NOT(C630="")),"!","")</f>
        <v/>
      </c>
      <c r="AU629" s="3"/>
      <c r="AZ629" s="3"/>
      <c r="BA629" s="3"/>
      <c r="BB629" s="3"/>
      <c r="BC629" s="3"/>
      <c r="BD629" s="3"/>
    </row>
    <row r="630" spans="2:157" ht="12.9" customHeight="1">
      <c r="B630" s="52" t="s">
        <v>582</v>
      </c>
      <c r="C630" s="1348" t="s">
        <v>2321</v>
      </c>
      <c r="D630" s="1348"/>
      <c r="E630" s="1348"/>
      <c r="F630" s="1348"/>
      <c r="G630" s="1348"/>
      <c r="H630" s="1348"/>
      <c r="I630" s="1348"/>
      <c r="J630" s="1348"/>
      <c r="K630" s="1348"/>
      <c r="L630" s="1348"/>
      <c r="M630" s="1618" t="s">
        <v>2107</v>
      </c>
      <c r="N630" s="1618"/>
      <c r="O630" s="1618"/>
      <c r="P630" s="1618"/>
      <c r="Q630" s="1425"/>
      <c r="R630" s="1426"/>
      <c r="S630" s="1427"/>
      <c r="T630" s="1425"/>
      <c r="U630" s="1426"/>
      <c r="V630" s="1427"/>
      <c r="W630" s="1438"/>
      <c r="X630" s="1439"/>
      <c r="Y630" s="1440"/>
      <c r="Z630" s="1479" t="s">
        <v>1185</v>
      </c>
      <c r="AA630" s="1480"/>
      <c r="AB630" s="1481"/>
      <c r="AC630" s="1446"/>
      <c r="AD630" s="1447"/>
      <c r="AE630" s="1448"/>
      <c r="AF630" s="1476"/>
      <c r="AG630" s="1477"/>
      <c r="AH630" s="1477"/>
      <c r="AI630" s="1477"/>
      <c r="AJ630" s="1478"/>
      <c r="AK630" s="1428"/>
      <c r="AL630" s="1429"/>
      <c r="AM630" s="1429"/>
      <c r="AN630" s="1430"/>
      <c r="AO630" s="1467">
        <v>2080758</v>
      </c>
      <c r="AP630" s="1468"/>
      <c r="AQ630" s="1468"/>
      <c r="AR630" s="1468"/>
      <c r="AS630" s="1469"/>
      <c r="AT630" s="1148" t="str">
        <f t="shared" si="1"/>
        <v/>
      </c>
      <c r="AU630" s="3"/>
      <c r="AZ630" s="3"/>
      <c r="BA630" s="3"/>
      <c r="BB630" s="3"/>
      <c r="BC630" s="3"/>
      <c r="BD630" s="3"/>
    </row>
    <row r="631" spans="2:157" ht="12.9" customHeight="1">
      <c r="B631" s="52" t="s">
        <v>764</v>
      </c>
      <c r="C631" s="1348"/>
      <c r="D631" s="1348"/>
      <c r="E631" s="1348"/>
      <c r="F631" s="1348"/>
      <c r="G631" s="1348"/>
      <c r="H631" s="1348"/>
      <c r="I631" s="1348"/>
      <c r="J631" s="1348"/>
      <c r="K631" s="1348"/>
      <c r="L631" s="1348"/>
      <c r="M631" s="1618" t="s">
        <v>1185</v>
      </c>
      <c r="N631" s="1618"/>
      <c r="O631" s="1618"/>
      <c r="P631" s="1618"/>
      <c r="Q631" s="1425"/>
      <c r="R631" s="1426"/>
      <c r="S631" s="1427"/>
      <c r="T631" s="1425"/>
      <c r="U631" s="1426"/>
      <c r="V631" s="1427"/>
      <c r="W631" s="1438"/>
      <c r="X631" s="1439"/>
      <c r="Y631" s="1440"/>
      <c r="Z631" s="1479" t="s">
        <v>1185</v>
      </c>
      <c r="AA631" s="1480"/>
      <c r="AB631" s="1481"/>
      <c r="AC631" s="1446"/>
      <c r="AD631" s="1447"/>
      <c r="AE631" s="1448"/>
      <c r="AF631" s="1476"/>
      <c r="AG631" s="1477"/>
      <c r="AH631" s="1477"/>
      <c r="AI631" s="1477"/>
      <c r="AJ631" s="1478"/>
      <c r="AK631" s="1428"/>
      <c r="AL631" s="1429"/>
      <c r="AM631" s="1429"/>
      <c r="AN631" s="1430"/>
      <c r="AO631" s="1467"/>
      <c r="AP631" s="1468"/>
      <c r="AQ631" s="1468"/>
      <c r="AR631" s="1468"/>
      <c r="AS631" s="1469"/>
      <c r="AT631" s="1148" t="str">
        <f t="shared" si="1"/>
        <v/>
      </c>
      <c r="AU631" s="3"/>
      <c r="AZ631" s="3"/>
      <c r="BA631" s="3"/>
      <c r="BB631" s="3"/>
      <c r="BC631" s="3"/>
      <c r="BD631" s="3"/>
    </row>
    <row r="632" spans="2:157" ht="12.9" customHeight="1">
      <c r="B632" s="52" t="s">
        <v>585</v>
      </c>
      <c r="C632" s="1348"/>
      <c r="D632" s="1348"/>
      <c r="E632" s="1348"/>
      <c r="F632" s="1348"/>
      <c r="G632" s="1348"/>
      <c r="H632" s="1348"/>
      <c r="I632" s="1348"/>
      <c r="J632" s="1348"/>
      <c r="K632" s="1348"/>
      <c r="L632" s="1348"/>
      <c r="M632" s="1618" t="s">
        <v>1185</v>
      </c>
      <c r="N632" s="1618"/>
      <c r="O632" s="1618"/>
      <c r="P632" s="1618"/>
      <c r="Q632" s="1425"/>
      <c r="R632" s="1426"/>
      <c r="S632" s="1427"/>
      <c r="T632" s="1425"/>
      <c r="U632" s="1426"/>
      <c r="V632" s="1427"/>
      <c r="W632" s="1438"/>
      <c r="X632" s="1439"/>
      <c r="Y632" s="1440"/>
      <c r="Z632" s="1479" t="s">
        <v>1185</v>
      </c>
      <c r="AA632" s="1480"/>
      <c r="AB632" s="1481"/>
      <c r="AC632" s="1446"/>
      <c r="AD632" s="1447"/>
      <c r="AE632" s="1448"/>
      <c r="AF632" s="1476"/>
      <c r="AG632" s="1477"/>
      <c r="AH632" s="1477"/>
      <c r="AI632" s="1477"/>
      <c r="AJ632" s="1478"/>
      <c r="AK632" s="1428"/>
      <c r="AL632" s="1429"/>
      <c r="AM632" s="1429"/>
      <c r="AN632" s="1430"/>
      <c r="AO632" s="1467"/>
      <c r="AP632" s="1468"/>
      <c r="AQ632" s="1468"/>
      <c r="AR632" s="1468"/>
      <c r="AS632" s="1469"/>
      <c r="AT632" s="1148" t="str">
        <f t="shared" si="1"/>
        <v/>
      </c>
      <c r="AU632" s="3"/>
      <c r="AZ632" s="3"/>
      <c r="BA632" s="3"/>
      <c r="BB632" s="3"/>
      <c r="BC632" s="3"/>
      <c r="BD632" s="3"/>
    </row>
    <row r="633" spans="2:157" ht="12.9" customHeight="1">
      <c r="B633" s="52" t="s">
        <v>456</v>
      </c>
      <c r="C633" s="1348"/>
      <c r="D633" s="1348"/>
      <c r="E633" s="1348"/>
      <c r="F633" s="1348"/>
      <c r="G633" s="1348"/>
      <c r="H633" s="1348"/>
      <c r="I633" s="1348"/>
      <c r="J633" s="1348"/>
      <c r="K633" s="1348"/>
      <c r="L633" s="1348"/>
      <c r="M633" s="1618" t="s">
        <v>1185</v>
      </c>
      <c r="N633" s="1618"/>
      <c r="O633" s="1618"/>
      <c r="P633" s="1618"/>
      <c r="Q633" s="1425"/>
      <c r="R633" s="1426"/>
      <c r="S633" s="1427"/>
      <c r="T633" s="1425"/>
      <c r="U633" s="1426"/>
      <c r="V633" s="1427"/>
      <c r="W633" s="1438"/>
      <c r="X633" s="1439"/>
      <c r="Y633" s="1440"/>
      <c r="Z633" s="1479" t="s">
        <v>1185</v>
      </c>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1"/>
        <v/>
      </c>
      <c r="AU633" s="3"/>
      <c r="AV633" s="3"/>
      <c r="AW633" s="3"/>
      <c r="AX633" s="3"/>
      <c r="AY633" s="3"/>
      <c r="AZ633" s="3"/>
      <c r="BA633" s="3"/>
      <c r="BB633" s="3"/>
      <c r="BC633" s="3"/>
      <c r="BD633" s="3"/>
    </row>
    <row r="634" spans="2:157" ht="12.9"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9" t="s">
        <v>1185</v>
      </c>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1185</v>
      </c>
      <c r="BB634" s="3"/>
      <c r="BC634" s="3"/>
      <c r="BD634" s="3"/>
    </row>
    <row r="635" spans="2:157" ht="12.9"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9" t="s">
        <v>1185</v>
      </c>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2">EZ718*(CP718/$CP$753)</f>
        <v>28.734939759036145</v>
      </c>
      <c r="DY635" s="1445"/>
      <c r="DZ635" s="1445"/>
      <c r="EA635" s="1445"/>
      <c r="EB635" s="1445"/>
      <c r="EC635" s="1445" t="e">
        <f t="shared" ref="EC635:EC669" si="3">FE718*(CU718/$CU$753)</f>
        <v>#VALUE!</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9" t="s">
        <v>1185</v>
      </c>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2"/>
        <v>191.56626506024097</v>
      </c>
      <c r="DY636" s="1445"/>
      <c r="DZ636" s="1445"/>
      <c r="EA636" s="1445"/>
      <c r="EB636" s="1445"/>
      <c r="EC636" s="1445" t="e">
        <f t="shared" si="3"/>
        <v>#VALUE!</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9" t="s">
        <v>1185</v>
      </c>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f t="shared" si="2"/>
        <v>268.19277108433732</v>
      </c>
      <c r="DY637" s="1445"/>
      <c r="DZ637" s="1445"/>
      <c r="EA637" s="1445"/>
      <c r="EB637" s="1445"/>
      <c r="EC637" s="1445" t="e">
        <f t="shared" si="3"/>
        <v>#VALUE!</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9" t="s">
        <v>1185</v>
      </c>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f t="shared" si="2"/>
        <v>9.5783132530120483</v>
      </c>
      <c r="DY638" s="1445"/>
      <c r="DZ638" s="1445"/>
      <c r="EA638" s="1445"/>
      <c r="EB638" s="1445"/>
      <c r="EC638" s="1445" t="e">
        <f t="shared" si="3"/>
        <v>#VALUE!</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28080758</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f t="shared" si="2"/>
        <v>47.891566265060241</v>
      </c>
      <c r="DY639" s="1445"/>
      <c r="DZ639" s="1445"/>
      <c r="EA639" s="1445"/>
      <c r="EB639" s="1445"/>
      <c r="EC639" s="1445" t="e">
        <f t="shared" si="3"/>
        <v>#VALUE!</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v>13528054</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f t="shared" si="2"/>
        <v>76.626506024096386</v>
      </c>
      <c r="DY640" s="1445"/>
      <c r="DZ640" s="1445"/>
      <c r="EA640" s="1445"/>
      <c r="EB640" s="1445"/>
      <c r="EC640" s="1445" t="e">
        <f t="shared" si="3"/>
        <v>#VALUE!</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41608812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f t="shared" si="2"/>
        <v>9.5783132530120483</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f t="shared" si="2"/>
        <v>47.891566265060241</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 customHeight="1">
      <c r="A643" s="55" t="s">
        <v>112</v>
      </c>
      <c r="B643" t="s">
        <v>464</v>
      </c>
      <c r="G643" s="1359" t="str">
        <f>C627</f>
        <v>Permanent Loan</v>
      </c>
      <c r="H643" s="1359"/>
      <c r="I643" s="1359"/>
      <c r="J643" s="1359"/>
      <c r="K643" s="1359"/>
      <c r="L643" s="1359"/>
      <c r="M643" s="1359"/>
      <c r="N643" s="1359"/>
      <c r="O643" s="1359"/>
      <c r="P643" s="1359"/>
      <c r="Q643" s="1359"/>
      <c r="R643" s="1359"/>
      <c r="S643" s="8"/>
      <c r="T643" s="55" t="s">
        <v>113</v>
      </c>
      <c r="U643" t="s">
        <v>464</v>
      </c>
      <c r="Z643" s="1359" t="str">
        <f>C628</f>
        <v>NOI During Rehab</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f t="shared" si="2"/>
        <v>57.46987951807229</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 customHeight="1">
      <c r="A644" s="22"/>
      <c r="B644" t="s">
        <v>85</v>
      </c>
      <c r="G644" s="1417" t="s">
        <v>2701</v>
      </c>
      <c r="H644" s="1372"/>
      <c r="I644" s="1372"/>
      <c r="J644" s="1372"/>
      <c r="K644" s="1372"/>
      <c r="L644" s="1372"/>
      <c r="M644" s="1372"/>
      <c r="N644" s="1372"/>
      <c r="O644" s="1372"/>
      <c r="P644" s="1372"/>
      <c r="Q644" s="1372"/>
      <c r="R644" s="1372"/>
      <c r="S644" s="8"/>
      <c r="T644" s="22"/>
      <c r="U644" t="s">
        <v>85</v>
      </c>
      <c r="Z644" s="1417" t="s">
        <v>2622</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f t="shared" si="2"/>
        <v>28.734939759036145</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 customHeight="1">
      <c r="A645" s="22"/>
      <c r="B645" t="s">
        <v>581</v>
      </c>
      <c r="G645" s="1417" t="s">
        <v>2702</v>
      </c>
      <c r="H645" s="1372"/>
      <c r="I645" s="1372"/>
      <c r="J645" s="1372"/>
      <c r="K645" s="1372"/>
      <c r="L645" s="1372"/>
      <c r="M645" s="1372"/>
      <c r="N645" s="1372"/>
      <c r="O645" s="1372"/>
      <c r="P645" s="1372"/>
      <c r="Q645" s="1372"/>
      <c r="R645" s="1372"/>
      <c r="T645" s="22"/>
      <c r="U645" t="s">
        <v>581</v>
      </c>
      <c r="Z645" s="1458" t="s">
        <v>2638</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f t="shared" si="2"/>
        <v>143.67469879518072</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 customHeight="1">
      <c r="A646" s="22"/>
      <c r="B646" t="s">
        <v>17</v>
      </c>
      <c r="G646" s="1417" t="s">
        <v>2703</v>
      </c>
      <c r="H646" s="1372"/>
      <c r="I646" s="1372"/>
      <c r="J646" s="1372"/>
      <c r="K646" s="1372"/>
      <c r="L646" s="1372"/>
      <c r="M646" s="1372"/>
      <c r="N646" s="1372"/>
      <c r="O646" s="1372"/>
      <c r="P646" s="1372"/>
      <c r="Q646" s="1372"/>
      <c r="R646" s="1372"/>
      <c r="S646" s="8"/>
      <c r="T646" s="22"/>
      <c r="U646" t="s">
        <v>17</v>
      </c>
      <c r="Z646" s="1458" t="s">
        <v>2624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f t="shared" si="2"/>
        <v>229.87951807228916</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 customHeight="1">
      <c r="A647" s="22"/>
      <c r="B647" t="s">
        <v>316</v>
      </c>
      <c r="G647" s="1346" t="s">
        <v>2704</v>
      </c>
      <c r="H647" s="1347"/>
      <c r="I647" s="1347"/>
      <c r="J647" s="1347"/>
      <c r="K647" s="1347"/>
      <c r="L647" s="1347"/>
      <c r="O647" s="33" t="s">
        <v>206</v>
      </c>
      <c r="P647" s="1437"/>
      <c r="Q647" s="1437"/>
      <c r="R647" s="1437"/>
      <c r="S647" s="10"/>
      <c r="T647" s="22"/>
      <c r="U647" t="s">
        <v>316</v>
      </c>
      <c r="Z647" s="1346" t="s">
        <v>2712</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f t="shared" si="2"/>
        <v>19.156626506024097</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 customHeight="1">
      <c r="A648" s="22"/>
      <c r="B648" t="s">
        <v>18</v>
      </c>
      <c r="H648" s="1417" t="s">
        <v>2714</v>
      </c>
      <c r="I648" s="1372"/>
      <c r="J648" s="1372"/>
      <c r="K648" s="1372"/>
      <c r="L648" s="1372"/>
      <c r="M648" s="1372"/>
      <c r="N648" s="1372"/>
      <c r="O648" s="1372"/>
      <c r="P648" s="1372"/>
      <c r="Q648" s="1372"/>
      <c r="R648" s="1372"/>
      <c r="S648" s="8"/>
      <c r="T648" s="22"/>
      <c r="U648" t="s">
        <v>18</v>
      </c>
      <c r="AA648" s="1417" t="s">
        <v>2699</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f t="shared" si="2"/>
        <v>95.783132530120483</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f t="shared" si="2"/>
        <v>134.09638554216866</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f t="shared" si="3"/>
        <v>94.666666666666657</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 customHeight="1">
      <c r="A651" s="55" t="s">
        <v>119</v>
      </c>
      <c r="B651" t="s">
        <v>464</v>
      </c>
      <c r="G651" s="1359" t="str">
        <f>C629</f>
        <v>Seller Carryback Loan</v>
      </c>
      <c r="H651" s="1359"/>
      <c r="I651" s="1359"/>
      <c r="J651" s="1359"/>
      <c r="K651" s="1359"/>
      <c r="L651" s="1359"/>
      <c r="M651" s="1359"/>
      <c r="N651" s="1359"/>
      <c r="O651" s="1359"/>
      <c r="P651" s="1359"/>
      <c r="Q651" s="1359"/>
      <c r="R651" s="1359"/>
      <c r="T651" s="55" t="s">
        <v>582</v>
      </c>
      <c r="U651" t="s">
        <v>464</v>
      </c>
      <c r="Z651" s="1359" t="str">
        <f>C630</f>
        <v>Deferred Developer Fee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f t="shared" si="3"/>
        <v>157.77777777777777</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 customHeight="1">
      <c r="A652" s="22"/>
      <c r="B652" t="s">
        <v>85</v>
      </c>
      <c r="G652" s="1372" t="s">
        <v>2622</v>
      </c>
      <c r="H652" s="1372"/>
      <c r="I652" s="1372"/>
      <c r="J652" s="1372"/>
      <c r="K652" s="1372"/>
      <c r="L652" s="1372"/>
      <c r="M652" s="1372"/>
      <c r="N652" s="1372"/>
      <c r="O652" s="1372"/>
      <c r="P652" s="1372"/>
      <c r="Q652" s="1372"/>
      <c r="R652" s="1372"/>
      <c r="T652" s="22"/>
      <c r="U652" t="s">
        <v>85</v>
      </c>
      <c r="Z652" s="1372" t="s">
        <v>2622</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f t="shared" si="3"/>
        <v>378.66666666666663</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 customHeight="1">
      <c r="A653" s="22"/>
      <c r="B653" t="s">
        <v>581</v>
      </c>
      <c r="G653" s="1349" t="s">
        <v>2638</v>
      </c>
      <c r="H653" s="1349"/>
      <c r="I653" s="1349"/>
      <c r="J653" s="1349"/>
      <c r="K653" s="1349"/>
      <c r="L653" s="1349"/>
      <c r="M653" s="1349"/>
      <c r="N653" s="1349"/>
      <c r="O653" s="1349"/>
      <c r="P653" s="1349"/>
      <c r="Q653" s="1349"/>
      <c r="R653" s="1349"/>
      <c r="T653" s="22"/>
      <c r="U653" t="s">
        <v>581</v>
      </c>
      <c r="Z653" s="1349" t="s">
        <v>2638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f t="shared" si="3"/>
        <v>94.666666666666657</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 customHeight="1">
      <c r="A654" s="22"/>
      <c r="B654" t="s">
        <v>17</v>
      </c>
      <c r="G654" s="1349" t="s">
        <v>2624</v>
      </c>
      <c r="H654" s="1349"/>
      <c r="I654" s="1349"/>
      <c r="J654" s="1349"/>
      <c r="K654" s="1349"/>
      <c r="L654" s="1349"/>
      <c r="M654" s="1349"/>
      <c r="N654" s="1349"/>
      <c r="O654" s="1349"/>
      <c r="P654" s="1349"/>
      <c r="Q654" s="1349"/>
      <c r="R654" s="1349"/>
      <c r="T654" s="22"/>
      <c r="U654" t="s">
        <v>17</v>
      </c>
      <c r="Z654" s="1349" t="s">
        <v>2624</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f t="shared" si="3"/>
        <v>315.55555555555554</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 customHeight="1">
      <c r="A655" s="22"/>
      <c r="B655" t="s">
        <v>316</v>
      </c>
      <c r="G655" s="1347" t="s">
        <v>2712</v>
      </c>
      <c r="H655" s="1347"/>
      <c r="I655" s="1347"/>
      <c r="J655" s="1347"/>
      <c r="K655" s="1347"/>
      <c r="L655" s="1347"/>
      <c r="O655" s="33" t="s">
        <v>206</v>
      </c>
      <c r="P655" s="1437"/>
      <c r="Q655" s="1437"/>
      <c r="R655" s="1437"/>
      <c r="T655" s="22"/>
      <c r="U655" t="s">
        <v>316</v>
      </c>
      <c r="Z655" s="1347" t="s">
        <v>2712</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f t="shared" si="3"/>
        <v>94.666666666666657</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 customHeight="1">
      <c r="A656" s="22"/>
      <c r="B656" t="s">
        <v>18</v>
      </c>
      <c r="H656" s="1372" t="s">
        <v>2321</v>
      </c>
      <c r="I656" s="1372"/>
      <c r="J656" s="1372"/>
      <c r="K656" s="1372"/>
      <c r="L656" s="1372"/>
      <c r="M656" s="1372"/>
      <c r="N656" s="1372"/>
      <c r="O656" s="1372"/>
      <c r="P656" s="1372"/>
      <c r="Q656" s="1372"/>
      <c r="R656" s="1372"/>
      <c r="T656" s="22"/>
      <c r="U656" t="s">
        <v>18</v>
      </c>
      <c r="AA656" s="1417" t="s">
        <v>2321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f t="shared" si="3"/>
        <v>157.77777777777777</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 customHeight="1">
      <c r="A663" s="22"/>
      <c r="B663" t="s">
        <v>316</v>
      </c>
      <c r="G663" s="1347"/>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1388.8554216867469</v>
      </c>
      <c r="DY670" s="1445"/>
      <c r="DZ670" s="1445"/>
      <c r="EA670" s="1445"/>
      <c r="EB670" s="1445"/>
      <c r="EC670" s="1445">
        <f>SUMIF(EC635:EG669,"&gt;0")</f>
        <v>1293.7777777777778</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670</v>
      </c>
      <c r="O673" s="1332"/>
      <c r="T673" s="22"/>
      <c r="U673" t="s">
        <v>20</v>
      </c>
      <c r="AG673" s="1332" t="s">
        <v>670</v>
      </c>
      <c r="AH673" s="1332"/>
      <c r="AZ673" s="3"/>
    </row>
    <row r="674" spans="1:52" ht="12.9" customHeight="1">
      <c r="A674" s="22"/>
      <c r="T674" s="22"/>
      <c r="AZ674" s="3"/>
    </row>
    <row r="675" spans="1:52" ht="12.9"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 customHeight="1">
      <c r="A681" s="22"/>
      <c r="B681" t="s">
        <v>20</v>
      </c>
      <c r="N681" s="1332" t="s">
        <v>670</v>
      </c>
      <c r="O681" s="1332"/>
      <c r="T681" s="22"/>
      <c r="U681" t="s">
        <v>20</v>
      </c>
      <c r="AG681" s="1332" t="s">
        <v>670</v>
      </c>
      <c r="AH681" s="1332"/>
      <c r="AZ681" s="3"/>
    </row>
    <row r="682" spans="1:52" ht="12.9" customHeight="1">
      <c r="A682" s="22"/>
      <c r="T682" s="22"/>
      <c r="AZ682" s="3"/>
    </row>
    <row r="683" spans="1:52" ht="12.9"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 customHeight="1">
      <c r="B689" t="s">
        <v>20</v>
      </c>
      <c r="N689" s="1332" t="s">
        <v>670</v>
      </c>
      <c r="O689" s="1332"/>
      <c r="U689" t="s">
        <v>20</v>
      </c>
      <c r="AG689" s="1332" t="s">
        <v>670</v>
      </c>
      <c r="AH689" s="1332"/>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2" t="s">
        <v>670</v>
      </c>
      <c r="AF693" s="1332"/>
      <c r="AZ693" s="3"/>
    </row>
    <row r="694" spans="1:67" ht="12.9" customHeight="1">
      <c r="B694" s="135"/>
      <c r="C694" s="135"/>
      <c r="D694" s="136" t="s">
        <v>438</v>
      </c>
      <c r="E694" s="135"/>
      <c r="F694" s="135"/>
      <c r="G694" s="135"/>
      <c r="H694" s="135"/>
      <c r="AE694" s="1332" t="s">
        <v>546</v>
      </c>
      <c r="AF694" s="1332"/>
      <c r="AZ694" s="3"/>
    </row>
    <row r="695" spans="1:67" ht="12.9" customHeight="1">
      <c r="B695" s="135"/>
      <c r="C695" s="135"/>
      <c r="D695" s="136" t="s">
        <v>921</v>
      </c>
      <c r="E695" s="135"/>
      <c r="F695" s="135"/>
      <c r="G695" s="135"/>
      <c r="H695" s="135"/>
      <c r="AE695" s="1691">
        <v>45909</v>
      </c>
      <c r="AF695" s="1691"/>
      <c r="AG695" s="1691"/>
      <c r="AH695" s="1691"/>
      <c r="AI695" s="1691"/>
    </row>
    <row r="696" spans="1:67" ht="12.9" customHeight="1">
      <c r="B696" s="135"/>
      <c r="C696" s="135"/>
      <c r="D696" s="317" t="s">
        <v>984</v>
      </c>
      <c r="E696" s="135"/>
      <c r="F696" s="135"/>
      <c r="G696" s="135"/>
      <c r="H696" s="135"/>
      <c r="AE696" s="1703">
        <v>45980</v>
      </c>
      <c r="AF696" s="1703"/>
      <c r="AG696" s="1703"/>
      <c r="AH696" s="1703"/>
      <c r="AI696" s="1703"/>
    </row>
    <row r="697" spans="1:67" ht="12.9" customHeight="1">
      <c r="B697" s="135"/>
      <c r="C697" s="135"/>
    </row>
    <row r="698" spans="1:67" ht="12.9" customHeight="1">
      <c r="B698" s="135"/>
      <c r="C698" s="135"/>
      <c r="D698" s="136" t="s">
        <v>817</v>
      </c>
      <c r="E698" s="135"/>
      <c r="F698" s="135"/>
      <c r="G698" s="135"/>
      <c r="H698" s="135"/>
      <c r="AE698" s="1691">
        <v>46082</v>
      </c>
      <c r="AF698" s="1691"/>
      <c r="AG698" s="1691"/>
      <c r="AH698" s="1691"/>
      <c r="AI698" s="1691"/>
    </row>
    <row r="699" spans="1:67" ht="12.9" customHeight="1">
      <c r="B699" s="135"/>
      <c r="C699" s="135"/>
      <c r="D699" s="136" t="s">
        <v>436</v>
      </c>
      <c r="E699" s="135"/>
      <c r="F699" s="135"/>
      <c r="G699" s="135"/>
      <c r="H699" s="135"/>
      <c r="AE699" s="1661">
        <v>0.2833</v>
      </c>
      <c r="AF699" s="1661"/>
      <c r="AG699" s="1661"/>
      <c r="AH699" s="1661"/>
      <c r="AI699" s="1661"/>
    </row>
    <row r="700" spans="1:67" ht="12.9" customHeight="1">
      <c r="B700" s="135"/>
      <c r="C700" s="135"/>
      <c r="D700" s="136" t="s">
        <v>437</v>
      </c>
      <c r="E700" s="135"/>
      <c r="F700" s="135"/>
      <c r="G700" s="135"/>
      <c r="H700" s="135"/>
      <c r="W700" s="1359" t="str">
        <f>H335</f>
        <v>City of Los Angeles</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2" t="s">
        <v>670</v>
      </c>
      <c r="AF702" s="1332"/>
      <c r="AZ702" s="4" t="s">
        <v>324</v>
      </c>
    </row>
    <row r="703" spans="1:67" ht="12.9"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389</v>
      </c>
      <c r="C714" s="1364"/>
      <c r="D714" s="1364"/>
      <c r="E714" s="1364"/>
      <c r="F714" s="1365"/>
      <c r="G714" s="1363" t="s">
        <v>285</v>
      </c>
      <c r="H714" s="1364"/>
      <c r="I714" s="1364"/>
      <c r="J714" s="1365"/>
      <c r="K714" s="1720" t="s">
        <v>1680</v>
      </c>
      <c r="L714" s="1721"/>
      <c r="M714" s="1721"/>
      <c r="N714" s="1722"/>
      <c r="O714" s="1363" t="s">
        <v>448</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 customHeight="1">
      <c r="A718" s="4"/>
      <c r="B718" s="1337" t="s">
        <v>324</v>
      </c>
      <c r="C718" s="1338"/>
      <c r="D718" s="1338"/>
      <c r="E718" s="1338"/>
      <c r="F718" s="1339"/>
      <c r="G718" s="1350">
        <v>3</v>
      </c>
      <c r="H718" s="1351"/>
      <c r="I718" s="1351"/>
      <c r="J718" s="1352"/>
      <c r="K718" s="1343">
        <v>334</v>
      </c>
      <c r="L718" s="1344"/>
      <c r="M718" s="1344"/>
      <c r="N718" s="1345"/>
      <c r="O718" s="1340">
        <v>795</v>
      </c>
      <c r="P718" s="1341"/>
      <c r="Q718" s="1341"/>
      <c r="R718" s="1341"/>
      <c r="S718" s="1342"/>
      <c r="T718" s="1340">
        <v>0</v>
      </c>
      <c r="U718" s="1341"/>
      <c r="V718" s="1341"/>
      <c r="W718" s="1342"/>
      <c r="X718" s="1353">
        <f t="shared" ref="X718:X741" si="8">O718+T718</f>
        <v>795</v>
      </c>
      <c r="Y718" s="1354"/>
      <c r="Z718" s="1354"/>
      <c r="AA718" s="1354"/>
      <c r="AB718" s="1355"/>
      <c r="AC718" s="1360">
        <v>0.3</v>
      </c>
      <c r="AD718" s="1361"/>
      <c r="AE718" s="1361"/>
      <c r="AF718" s="1361"/>
      <c r="AG718" s="1362"/>
      <c r="AH718" s="1356">
        <f>IF($AC718&gt;0,($X718/$AZ718), "")</f>
        <v>0.3</v>
      </c>
      <c r="AI718" s="1357"/>
      <c r="AJ718" s="1358"/>
      <c r="AK718" s="1337" t="s">
        <v>592</v>
      </c>
      <c r="AL718" s="1338"/>
      <c r="AM718" s="1338"/>
      <c r="AN718" s="1338"/>
      <c r="AO718" s="1339"/>
      <c r="AP718" s="3"/>
      <c r="AQ718" s="3"/>
      <c r="AR718" s="3"/>
      <c r="AS718" s="3"/>
      <c r="AZ718" s="118">
        <f t="shared" ref="AZ718:AZ752" si="9">IF($G718=0,"N/A",VLOOKUP($T$189,TC_Rent,(MATCH($B718,bedrooms,FALSE)),FALSE))</f>
        <v>2650</v>
      </c>
      <c r="BA718" s="3"/>
      <c r="BB718" s="3"/>
      <c r="BC718" s="3"/>
      <c r="BD718" s="3"/>
      <c r="BE718" s="204"/>
      <c r="BF718" s="293">
        <f t="shared" ref="BF718:BF752" si="10">G718</f>
        <v>3</v>
      </c>
      <c r="BG718" s="297">
        <f t="shared" ref="BG718:BG752" si="11">IF($BF$753=0,0,BF718/$BF$753)</f>
        <v>3.2608695652173912E-2</v>
      </c>
      <c r="BH718" s="298">
        <f t="shared" ref="BH718:BH752" si="12">IF(BG718=0,"",BG718*AC718)</f>
        <v>9.7826086956521729E-3</v>
      </c>
      <c r="BI718" s="3"/>
      <c r="BJ718" s="3"/>
      <c r="BK718" s="3"/>
      <c r="BL718" s="3"/>
      <c r="BM718" s="3"/>
      <c r="BN718" s="3"/>
      <c r="BS718" s="293">
        <f t="shared" ref="BS718:BS752" si="13">G718</f>
        <v>3</v>
      </c>
      <c r="BT718" s="297">
        <f t="shared" ref="BT718:BT752" si="14">IF($BS$753=0,0,BS718/$BS$753)</f>
        <v>3.2608695652173912E-2</v>
      </c>
      <c r="BU718" s="298">
        <f t="shared" ref="BU718:BU752" si="15">IF(BT718=0,"",BT718*AH718)</f>
        <v>9.7826086956521729E-3</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3</v>
      </c>
      <c r="CN718" s="1471"/>
      <c r="CO718" s="3"/>
      <c r="CP718" s="1459">
        <f t="shared" ref="CP718:CP752" si="18">IF(B718="SRO/Studio",G718,0)</f>
        <v>3</v>
      </c>
      <c r="CQ718" s="1460"/>
      <c r="CR718" s="1460"/>
      <c r="CS718" s="1460"/>
      <c r="CT718" s="1461"/>
      <c r="CU718" s="1443">
        <f t="shared" ref="CU718:CU752" si="19">IF(B718="1 Bedroom",G718,0)</f>
        <v>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3</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f t="shared" ref="EZ718:EZ752" si="30">IF(CP718&gt;0,O718,"")</f>
        <v>795</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 customHeight="1">
      <c r="A719" s="4"/>
      <c r="B719" s="1337" t="s">
        <v>324</v>
      </c>
      <c r="C719" s="1338"/>
      <c r="D719" s="1338"/>
      <c r="E719" s="1338"/>
      <c r="F719" s="1339"/>
      <c r="G719" s="1350">
        <v>12</v>
      </c>
      <c r="H719" s="1351"/>
      <c r="I719" s="1351"/>
      <c r="J719" s="1352"/>
      <c r="K719" s="1343">
        <v>334</v>
      </c>
      <c r="L719" s="1344"/>
      <c r="M719" s="1344"/>
      <c r="N719" s="1345"/>
      <c r="O719" s="1340">
        <v>1325</v>
      </c>
      <c r="P719" s="1341"/>
      <c r="Q719" s="1341"/>
      <c r="R719" s="1341"/>
      <c r="S719" s="1342"/>
      <c r="T719" s="1340">
        <v>0</v>
      </c>
      <c r="U719" s="1341"/>
      <c r="V719" s="1341"/>
      <c r="W719" s="1342"/>
      <c r="X719" s="1353">
        <f t="shared" si="8"/>
        <v>1325</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2650</v>
      </c>
      <c r="BA719" s="3"/>
      <c r="BB719" s="3"/>
      <c r="BC719" s="3"/>
      <c r="BD719" s="3"/>
      <c r="BE719" s="204"/>
      <c r="BF719" s="294">
        <f t="shared" si="10"/>
        <v>12</v>
      </c>
      <c r="BG719" s="297">
        <f t="shared" si="11"/>
        <v>0.13043478260869565</v>
      </c>
      <c r="BH719" s="298">
        <f t="shared" si="12"/>
        <v>6.5217391304347824E-2</v>
      </c>
      <c r="BI719" s="3"/>
      <c r="BJ719" s="3"/>
      <c r="BK719" s="3"/>
      <c r="BL719" s="3"/>
      <c r="BM719" s="3"/>
      <c r="BN719" s="3"/>
      <c r="BS719" s="294">
        <f t="shared" si="13"/>
        <v>12</v>
      </c>
      <c r="BT719" s="297">
        <f t="shared" si="14"/>
        <v>0.13043478260869565</v>
      </c>
      <c r="BU719" s="298">
        <f t="shared" si="15"/>
        <v>6.5217391304347824E-2</v>
      </c>
      <c r="CC719" s="3"/>
      <c r="CD719" s="3"/>
      <c r="CE719" s="3"/>
      <c r="CF719" s="3"/>
      <c r="CG719" s="1464">
        <f t="shared" ref="CG719:CG752" si="37">IF(AND(AC719&lt;=0.5,AC719&gt;=0.36),1,0)</f>
        <v>1</v>
      </c>
      <c r="CH719" s="1465"/>
      <c r="CI719" s="1470">
        <f t="shared" ref="CI719:CI752" si="38">IF(CG719=1,G719,0)</f>
        <v>12</v>
      </c>
      <c r="CJ719" s="1471"/>
      <c r="CK719" s="1464">
        <f t="shared" si="16"/>
        <v>0</v>
      </c>
      <c r="CL719" s="1465"/>
      <c r="CM719" s="1470">
        <f t="shared" si="17"/>
        <v>0</v>
      </c>
      <c r="CN719" s="1471"/>
      <c r="CO719" s="3"/>
      <c r="CP719" s="1459">
        <f t="shared" si="18"/>
        <v>12</v>
      </c>
      <c r="CQ719" s="1460"/>
      <c r="CR719" s="1460"/>
      <c r="CS719" s="1460"/>
      <c r="CT719" s="1461"/>
      <c r="CU719" s="1443">
        <f t="shared" si="19"/>
        <v>0</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f t="shared" si="30"/>
        <v>1325</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 customHeight="1">
      <c r="A720" s="4"/>
      <c r="B720" s="1337" t="s">
        <v>324</v>
      </c>
      <c r="C720" s="1338"/>
      <c r="D720" s="1338"/>
      <c r="E720" s="1338"/>
      <c r="F720" s="1339"/>
      <c r="G720" s="1350">
        <v>14</v>
      </c>
      <c r="H720" s="1351"/>
      <c r="I720" s="1351"/>
      <c r="J720" s="1352"/>
      <c r="K720" s="1343">
        <v>334</v>
      </c>
      <c r="L720" s="1344"/>
      <c r="M720" s="1344"/>
      <c r="N720" s="1345"/>
      <c r="O720" s="1340">
        <v>1590</v>
      </c>
      <c r="P720" s="1341"/>
      <c r="Q720" s="1341"/>
      <c r="R720" s="1341"/>
      <c r="S720" s="1342"/>
      <c r="T720" s="1340">
        <v>0</v>
      </c>
      <c r="U720" s="1341"/>
      <c r="V720" s="1341"/>
      <c r="W720" s="1342"/>
      <c r="X720" s="1353">
        <f t="shared" si="8"/>
        <v>1590</v>
      </c>
      <c r="Y720" s="1354"/>
      <c r="Z720" s="1354"/>
      <c r="AA720" s="1354"/>
      <c r="AB720" s="1355"/>
      <c r="AC720" s="1360">
        <v>0.6</v>
      </c>
      <c r="AD720" s="1361"/>
      <c r="AE720" s="1361"/>
      <c r="AF720" s="1361"/>
      <c r="AG720" s="1362"/>
      <c r="AH720" s="1356">
        <f t="shared" si="36"/>
        <v>0.6</v>
      </c>
      <c r="AI720" s="1357"/>
      <c r="AJ720" s="1358"/>
      <c r="AK720" s="1337" t="s">
        <v>592</v>
      </c>
      <c r="AL720" s="1338"/>
      <c r="AM720" s="1338"/>
      <c r="AN720" s="1338"/>
      <c r="AO720" s="1339"/>
      <c r="AP720" s="3"/>
      <c r="AQ720" s="3"/>
      <c r="AR720" s="3"/>
      <c r="AS720" s="3"/>
      <c r="AZ720" s="118">
        <f t="shared" si="9"/>
        <v>2650</v>
      </c>
      <c r="BA720" s="3"/>
      <c r="BB720" s="3"/>
      <c r="BC720" s="3"/>
      <c r="BD720" s="3"/>
      <c r="BE720" s="204"/>
      <c r="BF720" s="294">
        <f t="shared" si="10"/>
        <v>14</v>
      </c>
      <c r="BG720" s="297">
        <f t="shared" si="11"/>
        <v>0.15217391304347827</v>
      </c>
      <c r="BH720" s="298">
        <f t="shared" si="12"/>
        <v>9.1304347826086957E-2</v>
      </c>
      <c r="BI720" s="3"/>
      <c r="BJ720" s="3"/>
      <c r="BK720" s="3"/>
      <c r="BL720" s="3"/>
      <c r="BM720" s="3"/>
      <c r="BN720" s="3"/>
      <c r="BS720" s="294">
        <f t="shared" si="13"/>
        <v>14</v>
      </c>
      <c r="BT720" s="297">
        <f t="shared" si="14"/>
        <v>0.15217391304347827</v>
      </c>
      <c r="BU720" s="298">
        <f t="shared" si="15"/>
        <v>9.1304347826086957E-2</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14</v>
      </c>
      <c r="CQ720" s="1460"/>
      <c r="CR720" s="1460"/>
      <c r="CS720" s="1460"/>
      <c r="CT720" s="1461"/>
      <c r="CU720" s="1443">
        <f t="shared" si="19"/>
        <v>0</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f t="shared" si="30"/>
        <v>1590</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 customHeight="1">
      <c r="B721" s="1337" t="s">
        <v>324</v>
      </c>
      <c r="C721" s="1338"/>
      <c r="D721" s="1338"/>
      <c r="E721" s="1338"/>
      <c r="F721" s="1339"/>
      <c r="G721" s="1350">
        <v>1</v>
      </c>
      <c r="H721" s="1351"/>
      <c r="I721" s="1351"/>
      <c r="J721" s="1352"/>
      <c r="K721" s="1343">
        <v>430</v>
      </c>
      <c r="L721" s="1344"/>
      <c r="M721" s="1344"/>
      <c r="N721" s="1345"/>
      <c r="O721" s="1340">
        <v>795</v>
      </c>
      <c r="P721" s="1341"/>
      <c r="Q721" s="1341"/>
      <c r="R721" s="1341"/>
      <c r="S721" s="1342"/>
      <c r="T721" s="1340">
        <v>0</v>
      </c>
      <c r="U721" s="1341"/>
      <c r="V721" s="1341"/>
      <c r="W721" s="1342"/>
      <c r="X721" s="1353">
        <f t="shared" si="8"/>
        <v>795</v>
      </c>
      <c r="Y721" s="1354"/>
      <c r="Z721" s="1354"/>
      <c r="AA721" s="1354"/>
      <c r="AB721" s="1355"/>
      <c r="AC721" s="1360">
        <v>0.3</v>
      </c>
      <c r="AD721" s="1361"/>
      <c r="AE721" s="1361"/>
      <c r="AF721" s="1361"/>
      <c r="AG721" s="1362"/>
      <c r="AH721" s="1356">
        <f t="shared" si="36"/>
        <v>0.3</v>
      </c>
      <c r="AI721" s="1357"/>
      <c r="AJ721" s="1358"/>
      <c r="AK721" s="1337" t="s">
        <v>592</v>
      </c>
      <c r="AL721" s="1338"/>
      <c r="AM721" s="1338"/>
      <c r="AN721" s="1338"/>
      <c r="AO721" s="1339"/>
      <c r="AP721" s="3"/>
      <c r="AQ721" s="3"/>
      <c r="AR721" s="3"/>
      <c r="AS721" s="3"/>
      <c r="AY721" s="116"/>
      <c r="AZ721" s="118">
        <f t="shared" si="9"/>
        <v>2650</v>
      </c>
      <c r="BA721" s="3"/>
      <c r="BB721" s="3"/>
      <c r="BC721" s="3"/>
      <c r="BD721" s="3"/>
      <c r="BE721" s="204"/>
      <c r="BF721" s="294">
        <f t="shared" si="10"/>
        <v>1</v>
      </c>
      <c r="BG721" s="297">
        <f t="shared" si="11"/>
        <v>1.0869565217391304E-2</v>
      </c>
      <c r="BH721" s="298">
        <f t="shared" si="12"/>
        <v>3.2608695652173911E-3</v>
      </c>
      <c r="BI721" s="3"/>
      <c r="BJ721" s="3"/>
      <c r="BK721" s="3"/>
      <c r="BL721" s="3"/>
      <c r="BM721" s="3"/>
      <c r="BN721" s="3"/>
      <c r="BS721" s="294">
        <f t="shared" si="13"/>
        <v>1</v>
      </c>
      <c r="BT721" s="297">
        <f t="shared" si="14"/>
        <v>1.0869565217391304E-2</v>
      </c>
      <c r="BU721" s="298">
        <f t="shared" si="15"/>
        <v>3.2608695652173911E-3</v>
      </c>
      <c r="CC721" s="3"/>
      <c r="CD721" s="3"/>
      <c r="CE721" s="3"/>
      <c r="CF721" s="3"/>
      <c r="CG721" s="1464">
        <f t="shared" si="37"/>
        <v>0</v>
      </c>
      <c r="CH721" s="1465"/>
      <c r="CI721" s="1470">
        <f t="shared" si="38"/>
        <v>0</v>
      </c>
      <c r="CJ721" s="1471"/>
      <c r="CK721" s="1464">
        <f t="shared" si="16"/>
        <v>1</v>
      </c>
      <c r="CL721" s="1465"/>
      <c r="CM721" s="1470">
        <f t="shared" si="17"/>
        <v>1</v>
      </c>
      <c r="CN721" s="1471"/>
      <c r="CO721" s="3"/>
      <c r="CP721" s="1459">
        <f t="shared" si="18"/>
        <v>1</v>
      </c>
      <c r="CQ721" s="1460"/>
      <c r="CR721" s="1460"/>
      <c r="CS721" s="1460"/>
      <c r="CT721" s="1461"/>
      <c r="CU721" s="1443">
        <f t="shared" si="19"/>
        <v>0</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1</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f t="shared" si="30"/>
        <v>795</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 customHeight="1">
      <c r="B722" s="1337" t="s">
        <v>324</v>
      </c>
      <c r="C722" s="1338"/>
      <c r="D722" s="1338"/>
      <c r="E722" s="1338"/>
      <c r="F722" s="1339"/>
      <c r="G722" s="1350">
        <v>3</v>
      </c>
      <c r="H722" s="1351"/>
      <c r="I722" s="1351"/>
      <c r="J722" s="1352"/>
      <c r="K722" s="1343">
        <v>430</v>
      </c>
      <c r="L722" s="1344"/>
      <c r="M722" s="1344"/>
      <c r="N722" s="1345"/>
      <c r="O722" s="1340">
        <v>1325</v>
      </c>
      <c r="P722" s="1341"/>
      <c r="Q722" s="1341"/>
      <c r="R722" s="1341"/>
      <c r="S722" s="1342"/>
      <c r="T722" s="1340">
        <v>0</v>
      </c>
      <c r="U722" s="1341"/>
      <c r="V722" s="1341"/>
      <c r="W722" s="1342"/>
      <c r="X722" s="1353">
        <f t="shared" si="8"/>
        <v>1325</v>
      </c>
      <c r="Y722" s="1354"/>
      <c r="Z722" s="1354"/>
      <c r="AA722" s="1354"/>
      <c r="AB722" s="1355"/>
      <c r="AC722" s="1360">
        <v>0.5</v>
      </c>
      <c r="AD722" s="1361"/>
      <c r="AE722" s="1361"/>
      <c r="AF722" s="1361"/>
      <c r="AG722" s="1362"/>
      <c r="AH722" s="1356">
        <f t="shared" si="36"/>
        <v>0.5</v>
      </c>
      <c r="AI722" s="1357"/>
      <c r="AJ722" s="1358"/>
      <c r="AK722" s="1337" t="s">
        <v>592</v>
      </c>
      <c r="AL722" s="1338"/>
      <c r="AM722" s="1338"/>
      <c r="AN722" s="1338"/>
      <c r="AO722" s="1339"/>
      <c r="AP722" s="3"/>
      <c r="AQ722" s="3"/>
      <c r="AR722" s="3"/>
      <c r="AS722" s="3"/>
      <c r="AY722" s="116"/>
      <c r="AZ722" s="118">
        <f t="shared" si="9"/>
        <v>2650</v>
      </c>
      <c r="BA722" s="3"/>
      <c r="BB722" s="3"/>
      <c r="BC722" s="3"/>
      <c r="BD722" s="3"/>
      <c r="BE722" s="204"/>
      <c r="BF722" s="294">
        <f t="shared" si="10"/>
        <v>3</v>
      </c>
      <c r="BG722" s="297">
        <f t="shared" si="11"/>
        <v>3.2608695652173912E-2</v>
      </c>
      <c r="BH722" s="298">
        <f t="shared" si="12"/>
        <v>1.6304347826086956E-2</v>
      </c>
      <c r="BI722" s="3"/>
      <c r="BJ722" s="3"/>
      <c r="BK722" s="3"/>
      <c r="BL722" s="3"/>
      <c r="BM722" s="3"/>
      <c r="BN722" s="3"/>
      <c r="BS722" s="294">
        <f t="shared" si="13"/>
        <v>3</v>
      </c>
      <c r="BT722" s="297">
        <f t="shared" si="14"/>
        <v>3.2608695652173912E-2</v>
      </c>
      <c r="BU722" s="298">
        <f t="shared" si="15"/>
        <v>1.6304347826086956E-2</v>
      </c>
      <c r="CC722" s="3"/>
      <c r="CD722" s="3"/>
      <c r="CE722" s="3"/>
      <c r="CF722" s="3"/>
      <c r="CG722" s="1464">
        <f t="shared" si="37"/>
        <v>1</v>
      </c>
      <c r="CH722" s="1465"/>
      <c r="CI722" s="1470">
        <f t="shared" si="38"/>
        <v>3</v>
      </c>
      <c r="CJ722" s="1471"/>
      <c r="CK722" s="1464">
        <f t="shared" si="16"/>
        <v>0</v>
      </c>
      <c r="CL722" s="1465"/>
      <c r="CM722" s="1470">
        <f t="shared" si="17"/>
        <v>0</v>
      </c>
      <c r="CN722" s="1471"/>
      <c r="CO722" s="3"/>
      <c r="CP722" s="1459">
        <f t="shared" si="18"/>
        <v>3</v>
      </c>
      <c r="CQ722" s="1460"/>
      <c r="CR722" s="1460"/>
      <c r="CS722" s="1460"/>
      <c r="CT722" s="1461"/>
      <c r="CU722" s="1443">
        <f t="shared" si="19"/>
        <v>0</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f t="shared" si="30"/>
        <v>1325</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 customHeight="1">
      <c r="B723" s="1337" t="s">
        <v>324</v>
      </c>
      <c r="C723" s="1338"/>
      <c r="D723" s="1338"/>
      <c r="E723" s="1338"/>
      <c r="F723" s="1339"/>
      <c r="G723" s="1350">
        <v>4</v>
      </c>
      <c r="H723" s="1351"/>
      <c r="I723" s="1351"/>
      <c r="J723" s="1352"/>
      <c r="K723" s="1343">
        <v>430</v>
      </c>
      <c r="L723" s="1344"/>
      <c r="M723" s="1344"/>
      <c r="N723" s="1345"/>
      <c r="O723" s="1340">
        <v>1590</v>
      </c>
      <c r="P723" s="1341"/>
      <c r="Q723" s="1341"/>
      <c r="R723" s="1341"/>
      <c r="S723" s="1342"/>
      <c r="T723" s="1340">
        <v>0</v>
      </c>
      <c r="U723" s="1341"/>
      <c r="V723" s="1341"/>
      <c r="W723" s="1342"/>
      <c r="X723" s="1353">
        <f t="shared" si="8"/>
        <v>1590</v>
      </c>
      <c r="Y723" s="1354"/>
      <c r="Z723" s="1354"/>
      <c r="AA723" s="1354"/>
      <c r="AB723" s="1355"/>
      <c r="AC723" s="1360">
        <v>0.6</v>
      </c>
      <c r="AD723" s="1361"/>
      <c r="AE723" s="1361"/>
      <c r="AF723" s="1361"/>
      <c r="AG723" s="1362"/>
      <c r="AH723" s="1356">
        <f t="shared" si="36"/>
        <v>0.6</v>
      </c>
      <c r="AI723" s="1357"/>
      <c r="AJ723" s="1358"/>
      <c r="AK723" s="1337" t="s">
        <v>592</v>
      </c>
      <c r="AL723" s="1338"/>
      <c r="AM723" s="1338"/>
      <c r="AN723" s="1338"/>
      <c r="AO723" s="1339"/>
      <c r="AP723" s="3"/>
      <c r="AQ723" s="3"/>
      <c r="AR723" s="3"/>
      <c r="AS723" s="3"/>
      <c r="AY723" s="116"/>
      <c r="AZ723" s="118">
        <f t="shared" si="9"/>
        <v>2650</v>
      </c>
      <c r="BA723" s="3"/>
      <c r="BB723" s="3"/>
      <c r="BC723" s="3"/>
      <c r="BD723" s="3"/>
      <c r="BE723" s="204"/>
      <c r="BF723" s="294">
        <f t="shared" si="10"/>
        <v>4</v>
      </c>
      <c r="BG723" s="297">
        <f t="shared" si="11"/>
        <v>4.3478260869565216E-2</v>
      </c>
      <c r="BH723" s="298">
        <f t="shared" si="12"/>
        <v>2.6086956521739129E-2</v>
      </c>
      <c r="BI723" s="3"/>
      <c r="BJ723" s="3"/>
      <c r="BK723" s="3"/>
      <c r="BL723" s="3"/>
      <c r="BM723" s="3"/>
      <c r="BN723" s="3"/>
      <c r="BS723" s="294">
        <f t="shared" si="13"/>
        <v>4</v>
      </c>
      <c r="BT723" s="297">
        <f t="shared" si="14"/>
        <v>4.3478260869565216E-2</v>
      </c>
      <c r="BU723" s="298">
        <f t="shared" si="15"/>
        <v>2.6086956521739129E-2</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4</v>
      </c>
      <c r="CQ723" s="1460"/>
      <c r="CR723" s="1460"/>
      <c r="CS723" s="1460"/>
      <c r="CT723" s="1461"/>
      <c r="CU723" s="1443">
        <f t="shared" si="19"/>
        <v>0</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4">
        <f t="shared" si="30"/>
        <v>1590</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 customHeight="1">
      <c r="B724" s="1337" t="s">
        <v>324</v>
      </c>
      <c r="C724" s="1338"/>
      <c r="D724" s="1338"/>
      <c r="E724" s="1338"/>
      <c r="F724" s="1339"/>
      <c r="G724" s="1350">
        <v>1</v>
      </c>
      <c r="H724" s="1351"/>
      <c r="I724" s="1351"/>
      <c r="J724" s="1352"/>
      <c r="K724" s="1343">
        <v>471</v>
      </c>
      <c r="L724" s="1344"/>
      <c r="M724" s="1344"/>
      <c r="N724" s="1345"/>
      <c r="O724" s="1340">
        <v>795</v>
      </c>
      <c r="P724" s="1341"/>
      <c r="Q724" s="1341"/>
      <c r="R724" s="1341"/>
      <c r="S724" s="1342"/>
      <c r="T724" s="1340">
        <v>0</v>
      </c>
      <c r="U724" s="1341"/>
      <c r="V724" s="1341"/>
      <c r="W724" s="1342"/>
      <c r="X724" s="1353">
        <f t="shared" si="8"/>
        <v>795</v>
      </c>
      <c r="Y724" s="1354"/>
      <c r="Z724" s="1354"/>
      <c r="AA724" s="1354"/>
      <c r="AB724" s="1355"/>
      <c r="AC724" s="1360">
        <v>0.3</v>
      </c>
      <c r="AD724" s="1361"/>
      <c r="AE724" s="1361"/>
      <c r="AF724" s="1361"/>
      <c r="AG724" s="1362"/>
      <c r="AH724" s="1356">
        <f t="shared" si="36"/>
        <v>0.3</v>
      </c>
      <c r="AI724" s="1357"/>
      <c r="AJ724" s="1358"/>
      <c r="AK724" s="1337" t="s">
        <v>592</v>
      </c>
      <c r="AL724" s="1338"/>
      <c r="AM724" s="1338"/>
      <c r="AN724" s="1338"/>
      <c r="AO724" s="1339"/>
      <c r="AP724" s="3"/>
      <c r="AQ724" s="3"/>
      <c r="AR724" s="3"/>
      <c r="AS724" s="3"/>
      <c r="AY724" s="116"/>
      <c r="AZ724" s="118">
        <f t="shared" si="9"/>
        <v>2650</v>
      </c>
      <c r="BA724" s="3"/>
      <c r="BB724" s="3"/>
      <c r="BC724" s="3"/>
      <c r="BD724" s="3"/>
      <c r="BE724" s="204"/>
      <c r="BF724" s="294">
        <f t="shared" si="10"/>
        <v>1</v>
      </c>
      <c r="BG724" s="297">
        <f t="shared" si="11"/>
        <v>1.0869565217391304E-2</v>
      </c>
      <c r="BH724" s="298">
        <f t="shared" si="12"/>
        <v>3.2608695652173911E-3</v>
      </c>
      <c r="BI724" s="3"/>
      <c r="BJ724" s="3"/>
      <c r="BK724" s="3"/>
      <c r="BL724" s="3"/>
      <c r="BM724" s="3"/>
      <c r="BN724" s="3"/>
      <c r="BS724" s="294">
        <f t="shared" si="13"/>
        <v>1</v>
      </c>
      <c r="BT724" s="297">
        <f t="shared" si="14"/>
        <v>1.0869565217391304E-2</v>
      </c>
      <c r="BU724" s="298">
        <f t="shared" si="15"/>
        <v>3.2608695652173911E-3</v>
      </c>
      <c r="CC724" s="3"/>
      <c r="CE724" s="3"/>
      <c r="CF724" s="3"/>
      <c r="CG724" s="1464">
        <f t="shared" si="37"/>
        <v>0</v>
      </c>
      <c r="CH724" s="1465"/>
      <c r="CI724" s="1470">
        <f t="shared" si="38"/>
        <v>0</v>
      </c>
      <c r="CJ724" s="1471"/>
      <c r="CK724" s="1464">
        <f t="shared" si="16"/>
        <v>1</v>
      </c>
      <c r="CL724" s="1465"/>
      <c r="CM724" s="1470">
        <f t="shared" si="17"/>
        <v>1</v>
      </c>
      <c r="CN724" s="1471"/>
      <c r="CO724" s="3"/>
      <c r="CP724" s="1459">
        <f t="shared" si="18"/>
        <v>1</v>
      </c>
      <c r="CQ724" s="1460"/>
      <c r="CR724" s="1460"/>
      <c r="CS724" s="1460"/>
      <c r="CT724" s="1461"/>
      <c r="CU724" s="1443">
        <f t="shared" si="19"/>
        <v>0</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1</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4">
        <f t="shared" si="30"/>
        <v>795</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 customHeight="1">
      <c r="B725" s="1337" t="s">
        <v>324</v>
      </c>
      <c r="C725" s="1338"/>
      <c r="D725" s="1338"/>
      <c r="E725" s="1338"/>
      <c r="F725" s="1339"/>
      <c r="G725" s="1350">
        <v>3</v>
      </c>
      <c r="H725" s="1351"/>
      <c r="I725" s="1351"/>
      <c r="J725" s="1352"/>
      <c r="K725" s="1343">
        <v>471</v>
      </c>
      <c r="L725" s="1344"/>
      <c r="M725" s="1344"/>
      <c r="N725" s="1345"/>
      <c r="O725" s="1340">
        <v>1325</v>
      </c>
      <c r="P725" s="1341"/>
      <c r="Q725" s="1341"/>
      <c r="R725" s="1341"/>
      <c r="S725" s="1342"/>
      <c r="T725" s="1340">
        <v>0</v>
      </c>
      <c r="U725" s="1341"/>
      <c r="V725" s="1341"/>
      <c r="W725" s="1342"/>
      <c r="X725" s="1353">
        <f t="shared" si="8"/>
        <v>1325</v>
      </c>
      <c r="Y725" s="1354"/>
      <c r="Z725" s="1354"/>
      <c r="AA725" s="1354"/>
      <c r="AB725" s="1355"/>
      <c r="AC725" s="1360">
        <v>0.5</v>
      </c>
      <c r="AD725" s="1361"/>
      <c r="AE725" s="1361"/>
      <c r="AF725" s="1361"/>
      <c r="AG725" s="1362"/>
      <c r="AH725" s="1356">
        <f t="shared" si="36"/>
        <v>0.5</v>
      </c>
      <c r="AI725" s="1357"/>
      <c r="AJ725" s="1358"/>
      <c r="AK725" s="1337" t="s">
        <v>592</v>
      </c>
      <c r="AL725" s="1338"/>
      <c r="AM725" s="1338"/>
      <c r="AN725" s="1338"/>
      <c r="AO725" s="1339"/>
      <c r="AP725" s="3"/>
      <c r="AQ725" s="3"/>
      <c r="AR725" s="3"/>
      <c r="AS725" s="3"/>
      <c r="AY725" s="1085"/>
      <c r="AZ725" s="118">
        <f t="shared" si="9"/>
        <v>2650</v>
      </c>
      <c r="BA725" s="3"/>
      <c r="BB725" s="3"/>
      <c r="BC725" s="3"/>
      <c r="BD725" s="3"/>
      <c r="BE725" s="204"/>
      <c r="BF725" s="294">
        <f t="shared" si="10"/>
        <v>3</v>
      </c>
      <c r="BG725" s="297">
        <f t="shared" si="11"/>
        <v>3.2608695652173912E-2</v>
      </c>
      <c r="BH725" s="298">
        <f t="shared" si="12"/>
        <v>1.6304347826086956E-2</v>
      </c>
      <c r="BI725" s="3"/>
      <c r="BJ725" s="3"/>
      <c r="BK725" s="3"/>
      <c r="BL725" s="3"/>
      <c r="BM725" s="3"/>
      <c r="BN725" s="3"/>
      <c r="BS725" s="294">
        <f t="shared" si="13"/>
        <v>3</v>
      </c>
      <c r="BT725" s="297">
        <f t="shared" si="14"/>
        <v>3.2608695652173912E-2</v>
      </c>
      <c r="BU725" s="298">
        <f t="shared" si="15"/>
        <v>1.6304347826086956E-2</v>
      </c>
      <c r="BV725" s="292"/>
      <c r="BW725" s="3"/>
      <c r="BX725" s="3"/>
      <c r="BY725" s="3"/>
      <c r="BZ725" s="3"/>
      <c r="CA725" s="3"/>
      <c r="CB725" s="3"/>
      <c r="CC725" s="3"/>
      <c r="CE725" s="3"/>
      <c r="CF725" s="3"/>
      <c r="CG725" s="1464">
        <f t="shared" si="37"/>
        <v>1</v>
      </c>
      <c r="CH725" s="1465"/>
      <c r="CI725" s="1470">
        <f t="shared" si="38"/>
        <v>3</v>
      </c>
      <c r="CJ725" s="1471"/>
      <c r="CK725" s="1464">
        <f t="shared" si="16"/>
        <v>0</v>
      </c>
      <c r="CL725" s="1465"/>
      <c r="CM725" s="1470">
        <f t="shared" si="17"/>
        <v>0</v>
      </c>
      <c r="CN725" s="1471"/>
      <c r="CO725" s="3"/>
      <c r="CP725" s="1459">
        <f t="shared" si="18"/>
        <v>3</v>
      </c>
      <c r="CQ725" s="1460"/>
      <c r="CR725" s="1460"/>
      <c r="CS725" s="1460"/>
      <c r="CT725" s="1461"/>
      <c r="CU725" s="1443">
        <f t="shared" si="19"/>
        <v>0</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f t="shared" si="30"/>
        <v>1325</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 customHeight="1">
      <c r="B726" s="1337" t="s">
        <v>324</v>
      </c>
      <c r="C726" s="1338"/>
      <c r="D726" s="1338"/>
      <c r="E726" s="1338"/>
      <c r="F726" s="1339"/>
      <c r="G726" s="1350">
        <v>3</v>
      </c>
      <c r="H726" s="1351"/>
      <c r="I726" s="1351"/>
      <c r="J726" s="1352"/>
      <c r="K726" s="1343">
        <v>471</v>
      </c>
      <c r="L726" s="1344"/>
      <c r="M726" s="1344"/>
      <c r="N726" s="1345"/>
      <c r="O726" s="1340">
        <v>1590</v>
      </c>
      <c r="P726" s="1341"/>
      <c r="Q726" s="1341"/>
      <c r="R726" s="1341"/>
      <c r="S726" s="1342"/>
      <c r="T726" s="1340">
        <v>0</v>
      </c>
      <c r="U726" s="1341"/>
      <c r="V726" s="1341"/>
      <c r="W726" s="1342"/>
      <c r="X726" s="1353">
        <f t="shared" si="8"/>
        <v>1590</v>
      </c>
      <c r="Y726" s="1354"/>
      <c r="Z726" s="1354"/>
      <c r="AA726" s="1354"/>
      <c r="AB726" s="1355"/>
      <c r="AC726" s="1360">
        <v>0.6</v>
      </c>
      <c r="AD726" s="1361"/>
      <c r="AE726" s="1361"/>
      <c r="AF726" s="1361"/>
      <c r="AG726" s="1362"/>
      <c r="AH726" s="1356">
        <f t="shared" si="36"/>
        <v>0.6</v>
      </c>
      <c r="AI726" s="1357"/>
      <c r="AJ726" s="1358"/>
      <c r="AK726" s="1337" t="s">
        <v>592</v>
      </c>
      <c r="AL726" s="1338"/>
      <c r="AM726" s="1338"/>
      <c r="AN726" s="1338"/>
      <c r="AO726" s="1339"/>
      <c r="AP726" s="3"/>
      <c r="AQ726" s="3"/>
      <c r="AR726" s="3"/>
      <c r="AS726" s="3"/>
      <c r="AY726" s="1085"/>
      <c r="AZ726" s="118">
        <f t="shared" si="9"/>
        <v>2650</v>
      </c>
      <c r="BA726" s="3"/>
      <c r="BB726" s="3"/>
      <c r="BC726" s="3"/>
      <c r="BD726" s="3"/>
      <c r="BE726" s="204"/>
      <c r="BF726" s="294">
        <f t="shared" si="10"/>
        <v>3</v>
      </c>
      <c r="BG726" s="297">
        <f t="shared" si="11"/>
        <v>3.2608695652173912E-2</v>
      </c>
      <c r="BH726" s="298">
        <f t="shared" si="12"/>
        <v>1.9565217391304346E-2</v>
      </c>
      <c r="BI726" s="3"/>
      <c r="BJ726" s="3"/>
      <c r="BK726" s="3"/>
      <c r="BL726" s="3"/>
      <c r="BM726" s="3"/>
      <c r="BN726" s="3"/>
      <c r="BS726" s="294">
        <f t="shared" si="13"/>
        <v>3</v>
      </c>
      <c r="BT726" s="297">
        <f t="shared" si="14"/>
        <v>3.2608695652173912E-2</v>
      </c>
      <c r="BU726" s="298">
        <f t="shared" si="15"/>
        <v>1.9565217391304346E-2</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3</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f t="shared" si="30"/>
        <v>1590</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 customHeight="1">
      <c r="A727" s="4"/>
      <c r="B727" s="1337" t="s">
        <v>324</v>
      </c>
      <c r="C727" s="1338"/>
      <c r="D727" s="1338"/>
      <c r="E727" s="1338"/>
      <c r="F727" s="1339"/>
      <c r="G727" s="1350">
        <v>3</v>
      </c>
      <c r="H727" s="1351"/>
      <c r="I727" s="1351"/>
      <c r="J727" s="1352"/>
      <c r="K727" s="1343">
        <v>371</v>
      </c>
      <c r="L727" s="1344"/>
      <c r="M727" s="1344"/>
      <c r="N727" s="1345"/>
      <c r="O727" s="1340">
        <v>795</v>
      </c>
      <c r="P727" s="1341"/>
      <c r="Q727" s="1341"/>
      <c r="R727" s="1341"/>
      <c r="S727" s="1342"/>
      <c r="T727" s="1340">
        <v>0</v>
      </c>
      <c r="U727" s="1341"/>
      <c r="V727" s="1341"/>
      <c r="W727" s="1342"/>
      <c r="X727" s="1353">
        <f t="shared" si="8"/>
        <v>795</v>
      </c>
      <c r="Y727" s="1354"/>
      <c r="Z727" s="1354"/>
      <c r="AA727" s="1354"/>
      <c r="AB727" s="1355"/>
      <c r="AC727" s="1360">
        <v>0.3</v>
      </c>
      <c r="AD727" s="1361"/>
      <c r="AE727" s="1361"/>
      <c r="AF727" s="1361"/>
      <c r="AG727" s="1362"/>
      <c r="AH727" s="1356">
        <f t="shared" si="36"/>
        <v>0.3</v>
      </c>
      <c r="AI727" s="1357"/>
      <c r="AJ727" s="1358"/>
      <c r="AK727" s="1337" t="s">
        <v>592</v>
      </c>
      <c r="AL727" s="1338"/>
      <c r="AM727" s="1338"/>
      <c r="AN727" s="1338"/>
      <c r="AO727" s="1339"/>
      <c r="AP727" s="3"/>
      <c r="AQ727" s="3"/>
      <c r="AR727" s="3"/>
      <c r="AS727" s="3"/>
      <c r="AY727" s="1085"/>
      <c r="AZ727" s="118">
        <f t="shared" si="9"/>
        <v>2650</v>
      </c>
      <c r="BA727" s="3"/>
      <c r="BB727" s="3"/>
      <c r="BC727" s="3"/>
      <c r="BD727" s="3"/>
      <c r="BE727" s="204"/>
      <c r="BF727" s="294">
        <f t="shared" si="10"/>
        <v>3</v>
      </c>
      <c r="BG727" s="297">
        <f t="shared" si="11"/>
        <v>3.2608695652173912E-2</v>
      </c>
      <c r="BH727" s="298">
        <f t="shared" si="12"/>
        <v>9.7826086956521729E-3</v>
      </c>
      <c r="BI727" s="3"/>
      <c r="BJ727" s="3"/>
      <c r="BK727" s="3"/>
      <c r="BL727" s="3"/>
      <c r="BM727" s="3"/>
      <c r="BN727" s="3"/>
      <c r="BS727" s="294">
        <f t="shared" si="13"/>
        <v>3</v>
      </c>
      <c r="BT727" s="297">
        <f t="shared" si="14"/>
        <v>3.2608695652173912E-2</v>
      </c>
      <c r="BU727" s="298">
        <f t="shared" si="15"/>
        <v>9.7826086956521729E-3</v>
      </c>
      <c r="BV727" s="3"/>
      <c r="BW727" s="3"/>
      <c r="BX727" s="3"/>
      <c r="BY727" s="3"/>
      <c r="BZ727" s="3"/>
      <c r="CA727" s="3"/>
      <c r="CB727" s="3"/>
      <c r="CC727" s="3"/>
      <c r="CE727" s="3"/>
      <c r="CF727" s="3"/>
      <c r="CG727" s="1464">
        <f t="shared" si="37"/>
        <v>0</v>
      </c>
      <c r="CH727" s="1465"/>
      <c r="CI727" s="1470">
        <f t="shared" si="38"/>
        <v>0</v>
      </c>
      <c r="CJ727" s="1471"/>
      <c r="CK727" s="1464">
        <f t="shared" si="16"/>
        <v>1</v>
      </c>
      <c r="CL727" s="1465"/>
      <c r="CM727" s="1470">
        <f t="shared" si="17"/>
        <v>3</v>
      </c>
      <c r="CN727" s="1471"/>
      <c r="CO727" s="3"/>
      <c r="CP727" s="1459">
        <f t="shared" si="18"/>
        <v>3</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3</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4">
        <f t="shared" si="30"/>
        <v>795</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 customHeight="1">
      <c r="A728" s="4"/>
      <c r="B728" s="1337" t="s">
        <v>324</v>
      </c>
      <c r="C728" s="1338"/>
      <c r="D728" s="1338"/>
      <c r="E728" s="1338"/>
      <c r="F728" s="1339"/>
      <c r="G728" s="1350">
        <v>9</v>
      </c>
      <c r="H728" s="1351"/>
      <c r="I728" s="1351"/>
      <c r="J728" s="1352"/>
      <c r="K728" s="1343">
        <v>371</v>
      </c>
      <c r="L728" s="1344"/>
      <c r="M728" s="1344"/>
      <c r="N728" s="1345"/>
      <c r="O728" s="1340">
        <v>1325</v>
      </c>
      <c r="P728" s="1341"/>
      <c r="Q728" s="1341"/>
      <c r="R728" s="1341"/>
      <c r="S728" s="1342"/>
      <c r="T728" s="1340">
        <v>0</v>
      </c>
      <c r="U728" s="1341"/>
      <c r="V728" s="1341"/>
      <c r="W728" s="1342"/>
      <c r="X728" s="1353">
        <f t="shared" si="8"/>
        <v>1325</v>
      </c>
      <c r="Y728" s="1354"/>
      <c r="Z728" s="1354"/>
      <c r="AA728" s="1354"/>
      <c r="AB728" s="1355"/>
      <c r="AC728" s="1360">
        <v>0.5</v>
      </c>
      <c r="AD728" s="1361"/>
      <c r="AE728" s="1361"/>
      <c r="AF728" s="1361"/>
      <c r="AG728" s="1362"/>
      <c r="AH728" s="1356">
        <f t="shared" si="36"/>
        <v>0.5</v>
      </c>
      <c r="AI728" s="1357"/>
      <c r="AJ728" s="1358"/>
      <c r="AK728" s="1337" t="s">
        <v>592</v>
      </c>
      <c r="AL728" s="1338"/>
      <c r="AM728" s="1338"/>
      <c r="AN728" s="1338"/>
      <c r="AO728" s="1339"/>
      <c r="AP728" s="3"/>
      <c r="AQ728" s="3"/>
      <c r="AR728" s="3"/>
      <c r="AS728" s="3"/>
      <c r="AY728" s="1085"/>
      <c r="AZ728" s="118">
        <f t="shared" si="9"/>
        <v>2650</v>
      </c>
      <c r="BA728" s="3"/>
      <c r="BB728" s="3"/>
      <c r="BC728" s="3"/>
      <c r="BD728" s="3"/>
      <c r="BE728" s="204"/>
      <c r="BF728" s="294">
        <f t="shared" si="10"/>
        <v>9</v>
      </c>
      <c r="BG728" s="297">
        <f t="shared" si="11"/>
        <v>9.7826086956521743E-2</v>
      </c>
      <c r="BH728" s="298">
        <f t="shared" si="12"/>
        <v>4.8913043478260872E-2</v>
      </c>
      <c r="BI728" s="3"/>
      <c r="BJ728" s="3"/>
      <c r="BK728" s="3"/>
      <c r="BL728" s="3"/>
      <c r="BM728" s="3"/>
      <c r="BN728" s="3"/>
      <c r="BS728" s="294">
        <f t="shared" si="13"/>
        <v>9</v>
      </c>
      <c r="BT728" s="297">
        <f t="shared" si="14"/>
        <v>9.7826086956521743E-2</v>
      </c>
      <c r="BU728" s="298">
        <f t="shared" si="15"/>
        <v>4.8913043478260872E-2</v>
      </c>
      <c r="BV728" s="3"/>
      <c r="BW728" s="3"/>
      <c r="BX728" s="3"/>
      <c r="BY728" s="3"/>
      <c r="BZ728" s="3"/>
      <c r="CA728" s="3"/>
      <c r="CB728" s="3"/>
      <c r="CC728" s="3"/>
      <c r="CE728" s="3"/>
      <c r="CF728" s="3"/>
      <c r="CG728" s="1464">
        <f t="shared" si="37"/>
        <v>1</v>
      </c>
      <c r="CH728" s="1465"/>
      <c r="CI728" s="1470">
        <f t="shared" si="38"/>
        <v>9</v>
      </c>
      <c r="CJ728" s="1471"/>
      <c r="CK728" s="1464">
        <f t="shared" si="16"/>
        <v>0</v>
      </c>
      <c r="CL728" s="1465"/>
      <c r="CM728" s="1470">
        <f t="shared" si="17"/>
        <v>0</v>
      </c>
      <c r="CN728" s="1471"/>
      <c r="CO728" s="3"/>
      <c r="CP728" s="1459">
        <f t="shared" si="18"/>
        <v>9</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f t="shared" si="30"/>
        <v>1325</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 customHeight="1">
      <c r="A729" s="4"/>
      <c r="B729" s="1337" t="s">
        <v>324</v>
      </c>
      <c r="C729" s="1338"/>
      <c r="D729" s="1338"/>
      <c r="E729" s="1338"/>
      <c r="F729" s="1339"/>
      <c r="G729" s="1350">
        <v>12</v>
      </c>
      <c r="H729" s="1351"/>
      <c r="I729" s="1351"/>
      <c r="J729" s="1352"/>
      <c r="K729" s="1343">
        <v>371</v>
      </c>
      <c r="L729" s="1344"/>
      <c r="M729" s="1344"/>
      <c r="N729" s="1345"/>
      <c r="O729" s="1340">
        <v>1590</v>
      </c>
      <c r="P729" s="1341"/>
      <c r="Q729" s="1341"/>
      <c r="R729" s="1341"/>
      <c r="S729" s="1342"/>
      <c r="T729" s="1340">
        <v>0</v>
      </c>
      <c r="U729" s="1341"/>
      <c r="V729" s="1341"/>
      <c r="W729" s="1342"/>
      <c r="X729" s="1353">
        <f t="shared" si="8"/>
        <v>1590</v>
      </c>
      <c r="Y729" s="1354"/>
      <c r="Z729" s="1354"/>
      <c r="AA729" s="1354"/>
      <c r="AB729" s="1355"/>
      <c r="AC729" s="1360">
        <v>0.6</v>
      </c>
      <c r="AD729" s="1361"/>
      <c r="AE729" s="1361"/>
      <c r="AF729" s="1361"/>
      <c r="AG729" s="1362"/>
      <c r="AH729" s="1356">
        <f t="shared" si="36"/>
        <v>0.6</v>
      </c>
      <c r="AI729" s="1357"/>
      <c r="AJ729" s="1358"/>
      <c r="AK729" s="1337" t="s">
        <v>592</v>
      </c>
      <c r="AL729" s="1338"/>
      <c r="AM729" s="1338"/>
      <c r="AN729" s="1338"/>
      <c r="AO729" s="1339"/>
      <c r="AP729" s="3"/>
      <c r="AQ729" s="3"/>
      <c r="AR729" s="3"/>
      <c r="AS729" s="3"/>
      <c r="AY729" s="1085"/>
      <c r="AZ729" s="118">
        <f t="shared" si="9"/>
        <v>2650</v>
      </c>
      <c r="BA729" s="3"/>
      <c r="BB729" s="3"/>
      <c r="BC729" s="3"/>
      <c r="BD729" s="3"/>
      <c r="BE729" s="204"/>
      <c r="BF729" s="294">
        <f t="shared" si="10"/>
        <v>12</v>
      </c>
      <c r="BG729" s="297">
        <f t="shared" si="11"/>
        <v>0.13043478260869565</v>
      </c>
      <c r="BH729" s="298">
        <f t="shared" si="12"/>
        <v>7.8260869565217384E-2</v>
      </c>
      <c r="BI729" s="3"/>
      <c r="BJ729" s="3"/>
      <c r="BK729" s="3"/>
      <c r="BL729" s="3"/>
      <c r="BM729" s="3"/>
      <c r="BN729" s="3"/>
      <c r="BS729" s="294">
        <f t="shared" si="13"/>
        <v>12</v>
      </c>
      <c r="BT729" s="297">
        <f t="shared" si="14"/>
        <v>0.13043478260869565</v>
      </c>
      <c r="BU729" s="298">
        <f t="shared" si="15"/>
        <v>7.8260869565217384E-2</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12</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f t="shared" si="30"/>
        <v>1590</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 customHeight="1">
      <c r="B730" s="1337" t="s">
        <v>324</v>
      </c>
      <c r="C730" s="1338"/>
      <c r="D730" s="1338"/>
      <c r="E730" s="1338"/>
      <c r="F730" s="1339"/>
      <c r="G730" s="1350">
        <v>2</v>
      </c>
      <c r="H730" s="1351"/>
      <c r="I730" s="1351"/>
      <c r="J730" s="1352"/>
      <c r="K730" s="1343">
        <v>437</v>
      </c>
      <c r="L730" s="1344"/>
      <c r="M730" s="1344"/>
      <c r="N730" s="1345"/>
      <c r="O730" s="1340">
        <v>795</v>
      </c>
      <c r="P730" s="1341"/>
      <c r="Q730" s="1341"/>
      <c r="R730" s="1341"/>
      <c r="S730" s="1342"/>
      <c r="T730" s="1340">
        <v>0</v>
      </c>
      <c r="U730" s="1341"/>
      <c r="V730" s="1341"/>
      <c r="W730" s="1342"/>
      <c r="X730" s="1353">
        <f t="shared" si="8"/>
        <v>795</v>
      </c>
      <c r="Y730" s="1354"/>
      <c r="Z730" s="1354"/>
      <c r="AA730" s="1354"/>
      <c r="AB730" s="1355"/>
      <c r="AC730" s="1360">
        <v>0.3</v>
      </c>
      <c r="AD730" s="1361"/>
      <c r="AE730" s="1361"/>
      <c r="AF730" s="1361"/>
      <c r="AG730" s="1362"/>
      <c r="AH730" s="1356">
        <f t="shared" si="36"/>
        <v>0.3</v>
      </c>
      <c r="AI730" s="1357"/>
      <c r="AJ730" s="1358"/>
      <c r="AK730" s="1337" t="s">
        <v>592</v>
      </c>
      <c r="AL730" s="1338"/>
      <c r="AM730" s="1338"/>
      <c r="AN730" s="1338"/>
      <c r="AO730" s="1339"/>
      <c r="AP730" s="3"/>
      <c r="AQ730" s="3"/>
      <c r="AR730" s="3"/>
      <c r="AS730" s="3"/>
      <c r="AY730" s="1085"/>
      <c r="AZ730" s="118">
        <f t="shared" si="9"/>
        <v>2650</v>
      </c>
      <c r="BA730" s="3"/>
      <c r="BB730" s="3"/>
      <c r="BC730" s="3"/>
      <c r="BD730" s="3"/>
      <c r="BE730" s="204"/>
      <c r="BF730" s="294">
        <f t="shared" si="10"/>
        <v>2</v>
      </c>
      <c r="BG730" s="297">
        <f t="shared" si="11"/>
        <v>2.1739130434782608E-2</v>
      </c>
      <c r="BH730" s="298">
        <f t="shared" si="12"/>
        <v>6.5217391304347823E-3</v>
      </c>
      <c r="BI730" s="3"/>
      <c r="BJ730" s="3"/>
      <c r="BK730" s="3"/>
      <c r="BL730" s="3"/>
      <c r="BM730" s="3"/>
      <c r="BN730" s="3"/>
      <c r="BS730" s="294">
        <f t="shared" si="13"/>
        <v>2</v>
      </c>
      <c r="BT730" s="297">
        <f t="shared" si="14"/>
        <v>2.1739130434782608E-2</v>
      </c>
      <c r="BU730" s="298">
        <f t="shared" si="15"/>
        <v>6.5217391304347823E-3</v>
      </c>
      <c r="BV730" s="3"/>
      <c r="BW730" s="3"/>
      <c r="BX730" s="3"/>
      <c r="BY730" s="3"/>
      <c r="BZ730" s="3"/>
      <c r="CA730" s="3"/>
      <c r="CB730" s="3"/>
      <c r="CC730" s="3"/>
      <c r="CE730" s="3"/>
      <c r="CF730" s="3"/>
      <c r="CG730" s="1464">
        <f t="shared" si="37"/>
        <v>0</v>
      </c>
      <c r="CH730" s="1465"/>
      <c r="CI730" s="1470">
        <f t="shared" si="38"/>
        <v>0</v>
      </c>
      <c r="CJ730" s="1471"/>
      <c r="CK730" s="1464">
        <f t="shared" si="16"/>
        <v>1</v>
      </c>
      <c r="CL730" s="1465"/>
      <c r="CM730" s="1470">
        <f t="shared" si="17"/>
        <v>2</v>
      </c>
      <c r="CN730" s="1471"/>
      <c r="CO730" s="3"/>
      <c r="CP730" s="1459">
        <f t="shared" si="18"/>
        <v>2</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2</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f t="shared" si="30"/>
        <v>795</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 customHeight="1">
      <c r="B731" s="1337" t="s">
        <v>324</v>
      </c>
      <c r="C731" s="1338"/>
      <c r="D731" s="1338"/>
      <c r="E731" s="1338"/>
      <c r="F731" s="1339"/>
      <c r="G731" s="1350">
        <v>6</v>
      </c>
      <c r="H731" s="1351"/>
      <c r="I731" s="1351"/>
      <c r="J731" s="1352"/>
      <c r="K731" s="1343">
        <v>437</v>
      </c>
      <c r="L731" s="1344"/>
      <c r="M731" s="1344"/>
      <c r="N731" s="1345"/>
      <c r="O731" s="1340">
        <v>1325</v>
      </c>
      <c r="P731" s="1341"/>
      <c r="Q731" s="1341"/>
      <c r="R731" s="1341"/>
      <c r="S731" s="1342"/>
      <c r="T731" s="1340">
        <v>0</v>
      </c>
      <c r="U731" s="1341"/>
      <c r="V731" s="1341"/>
      <c r="W731" s="1342"/>
      <c r="X731" s="1353">
        <f t="shared" si="8"/>
        <v>1325</v>
      </c>
      <c r="Y731" s="1354"/>
      <c r="Z731" s="1354"/>
      <c r="AA731" s="1354"/>
      <c r="AB731" s="1355"/>
      <c r="AC731" s="1360">
        <v>0.5</v>
      </c>
      <c r="AD731" s="1361"/>
      <c r="AE731" s="1361"/>
      <c r="AF731" s="1361"/>
      <c r="AG731" s="1362"/>
      <c r="AH731" s="1356">
        <f t="shared" si="36"/>
        <v>0.5</v>
      </c>
      <c r="AI731" s="1357"/>
      <c r="AJ731" s="1358"/>
      <c r="AK731" s="1337" t="s">
        <v>592</v>
      </c>
      <c r="AL731" s="1338"/>
      <c r="AM731" s="1338"/>
      <c r="AN731" s="1338"/>
      <c r="AO731" s="1339"/>
      <c r="AP731" s="3"/>
      <c r="AQ731" s="3"/>
      <c r="AR731" s="3"/>
      <c r="AS731" s="3"/>
      <c r="AY731" s="1085"/>
      <c r="AZ731" s="118">
        <f t="shared" si="9"/>
        <v>2650</v>
      </c>
      <c r="BA731" s="3"/>
      <c r="BB731" s="3"/>
      <c r="BC731" s="3"/>
      <c r="BD731" s="3"/>
      <c r="BE731" s="204"/>
      <c r="BF731" s="294">
        <f t="shared" si="10"/>
        <v>6</v>
      </c>
      <c r="BG731" s="297">
        <f t="shared" si="11"/>
        <v>6.5217391304347824E-2</v>
      </c>
      <c r="BH731" s="298">
        <f t="shared" si="12"/>
        <v>3.2608695652173912E-2</v>
      </c>
      <c r="BI731" s="3"/>
      <c r="BJ731" s="3"/>
      <c r="BK731" s="3"/>
      <c r="BL731" s="3"/>
      <c r="BM731" s="3"/>
      <c r="BN731" s="3"/>
      <c r="BS731" s="294">
        <f t="shared" si="13"/>
        <v>6</v>
      </c>
      <c r="BT731" s="297">
        <f t="shared" si="14"/>
        <v>6.5217391304347824E-2</v>
      </c>
      <c r="BU731" s="298">
        <f t="shared" si="15"/>
        <v>3.2608695652173912E-2</v>
      </c>
      <c r="BV731" s="3"/>
      <c r="BW731" s="3"/>
      <c r="BX731" s="3"/>
      <c r="BY731" s="3"/>
      <c r="BZ731" s="3"/>
      <c r="CA731" s="3"/>
      <c r="CB731" s="3"/>
      <c r="CC731" s="3"/>
      <c r="CE731" s="3"/>
      <c r="CF731" s="3"/>
      <c r="CG731" s="1464">
        <f t="shared" si="37"/>
        <v>1</v>
      </c>
      <c r="CH731" s="1465"/>
      <c r="CI731" s="1470">
        <f t="shared" si="38"/>
        <v>6</v>
      </c>
      <c r="CJ731" s="1471"/>
      <c r="CK731" s="1464">
        <f t="shared" si="16"/>
        <v>0</v>
      </c>
      <c r="CL731" s="1465"/>
      <c r="CM731" s="1470">
        <f t="shared" si="17"/>
        <v>0</v>
      </c>
      <c r="CN731" s="1471"/>
      <c r="CO731" s="3"/>
      <c r="CP731" s="1459">
        <f t="shared" si="18"/>
        <v>6</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f t="shared" si="30"/>
        <v>1325</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 customHeight="1">
      <c r="B732" s="1337" t="s">
        <v>324</v>
      </c>
      <c r="C732" s="1338"/>
      <c r="D732" s="1338"/>
      <c r="E732" s="1338"/>
      <c r="F732" s="1339"/>
      <c r="G732" s="1350">
        <v>7</v>
      </c>
      <c r="H732" s="1351"/>
      <c r="I732" s="1351"/>
      <c r="J732" s="1352"/>
      <c r="K732" s="1343">
        <v>437</v>
      </c>
      <c r="L732" s="1344"/>
      <c r="M732" s="1344"/>
      <c r="N732" s="1345"/>
      <c r="O732" s="1340">
        <v>1590</v>
      </c>
      <c r="P732" s="1341"/>
      <c r="Q732" s="1341"/>
      <c r="R732" s="1341"/>
      <c r="S732" s="1342"/>
      <c r="T732" s="1340">
        <v>0</v>
      </c>
      <c r="U732" s="1341"/>
      <c r="V732" s="1341"/>
      <c r="W732" s="1342"/>
      <c r="X732" s="1353">
        <f t="shared" si="8"/>
        <v>1590</v>
      </c>
      <c r="Y732" s="1354"/>
      <c r="Z732" s="1354"/>
      <c r="AA732" s="1354"/>
      <c r="AB732" s="1355"/>
      <c r="AC732" s="1360">
        <v>0.6</v>
      </c>
      <c r="AD732" s="1361"/>
      <c r="AE732" s="1361"/>
      <c r="AF732" s="1361"/>
      <c r="AG732" s="1362"/>
      <c r="AH732" s="1356">
        <f t="shared" si="36"/>
        <v>0.6</v>
      </c>
      <c r="AI732" s="1357"/>
      <c r="AJ732" s="1358"/>
      <c r="AK732" s="1337" t="s">
        <v>592</v>
      </c>
      <c r="AL732" s="1338"/>
      <c r="AM732" s="1338"/>
      <c r="AN732" s="1338"/>
      <c r="AO732" s="1339"/>
      <c r="AP732" s="3"/>
      <c r="AQ732" s="3"/>
      <c r="AR732" s="3"/>
      <c r="AS732" s="3"/>
      <c r="AY732" s="1085"/>
      <c r="AZ732" s="118">
        <f t="shared" si="9"/>
        <v>2650</v>
      </c>
      <c r="BA732" s="3"/>
      <c r="BB732" s="3"/>
      <c r="BC732" s="3"/>
      <c r="BD732" s="3"/>
      <c r="BE732" s="204"/>
      <c r="BF732" s="294">
        <f t="shared" si="10"/>
        <v>7</v>
      </c>
      <c r="BG732" s="297">
        <f t="shared" si="11"/>
        <v>7.6086956521739135E-2</v>
      </c>
      <c r="BH732" s="298">
        <f t="shared" si="12"/>
        <v>4.5652173913043478E-2</v>
      </c>
      <c r="BI732" s="3"/>
      <c r="BJ732" s="3"/>
      <c r="BK732" s="3"/>
      <c r="BL732" s="3"/>
      <c r="BM732" s="3"/>
      <c r="BN732" s="3"/>
      <c r="BS732" s="294">
        <f t="shared" si="13"/>
        <v>7</v>
      </c>
      <c r="BT732" s="297">
        <f t="shared" si="14"/>
        <v>7.6086956521739135E-2</v>
      </c>
      <c r="BU732" s="298">
        <f t="shared" si="15"/>
        <v>4.5652173913043478E-2</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7</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f t="shared" si="30"/>
        <v>1590</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 customHeight="1">
      <c r="B733" s="1337" t="s">
        <v>325</v>
      </c>
      <c r="C733" s="1338"/>
      <c r="D733" s="1338"/>
      <c r="E733" s="1338"/>
      <c r="F733" s="1339"/>
      <c r="G733" s="1350">
        <v>1</v>
      </c>
      <c r="H733" s="1351"/>
      <c r="I733" s="1351"/>
      <c r="J733" s="1352"/>
      <c r="K733" s="1343">
        <v>515</v>
      </c>
      <c r="L733" s="1344"/>
      <c r="M733" s="1344"/>
      <c r="N733" s="1345"/>
      <c r="O733" s="1340">
        <v>852</v>
      </c>
      <c r="P733" s="1341"/>
      <c r="Q733" s="1341"/>
      <c r="R733" s="1341"/>
      <c r="S733" s="1342"/>
      <c r="T733" s="1340">
        <v>0</v>
      </c>
      <c r="U733" s="1341"/>
      <c r="V733" s="1341"/>
      <c r="W733" s="1342"/>
      <c r="X733" s="1353">
        <f t="shared" si="8"/>
        <v>852</v>
      </c>
      <c r="Y733" s="1354"/>
      <c r="Z733" s="1354"/>
      <c r="AA733" s="1354"/>
      <c r="AB733" s="1355"/>
      <c r="AC733" s="1360">
        <v>0.3</v>
      </c>
      <c r="AD733" s="1361"/>
      <c r="AE733" s="1361"/>
      <c r="AF733" s="1361"/>
      <c r="AG733" s="1362"/>
      <c r="AH733" s="1356">
        <f t="shared" si="36"/>
        <v>0.3</v>
      </c>
      <c r="AI733" s="1357"/>
      <c r="AJ733" s="1358"/>
      <c r="AK733" s="1337" t="s">
        <v>592</v>
      </c>
      <c r="AL733" s="1338"/>
      <c r="AM733" s="1338"/>
      <c r="AN733" s="1338"/>
      <c r="AO733" s="1339"/>
      <c r="AP733" s="3"/>
      <c r="AQ733" s="3"/>
      <c r="AR733" s="3"/>
      <c r="AS733" s="3"/>
      <c r="AY733" s="1085"/>
      <c r="AZ733" s="118">
        <f t="shared" si="9"/>
        <v>2840</v>
      </c>
      <c r="BA733" s="3"/>
      <c r="BB733" s="3"/>
      <c r="BC733" s="3"/>
      <c r="BD733" s="3"/>
      <c r="BE733" s="204"/>
      <c r="BF733" s="294">
        <f t="shared" si="10"/>
        <v>1</v>
      </c>
      <c r="BG733" s="297">
        <f t="shared" si="11"/>
        <v>1.0869565217391304E-2</v>
      </c>
      <c r="BH733" s="298">
        <f t="shared" si="12"/>
        <v>3.2608695652173911E-3</v>
      </c>
      <c r="BI733" s="3"/>
      <c r="BJ733" s="3"/>
      <c r="BK733" s="3"/>
      <c r="BL733" s="3"/>
      <c r="BM733" s="3"/>
      <c r="BN733" s="3"/>
      <c r="BS733" s="294">
        <f t="shared" si="13"/>
        <v>1</v>
      </c>
      <c r="BT733" s="297">
        <f t="shared" si="14"/>
        <v>1.0869565217391304E-2</v>
      </c>
      <c r="BU733" s="298">
        <f t="shared" si="15"/>
        <v>3.2608695652173911E-3</v>
      </c>
      <c r="BV733" s="3"/>
      <c r="BW733" s="3"/>
      <c r="BX733" s="3"/>
      <c r="BY733" s="3"/>
      <c r="BZ733" s="3"/>
      <c r="CA733" s="3"/>
      <c r="CB733" s="3"/>
      <c r="CC733" s="3"/>
      <c r="CE733" s="3"/>
      <c r="CF733" s="3"/>
      <c r="CG733" s="1464">
        <f t="shared" si="37"/>
        <v>0</v>
      </c>
      <c r="CH733" s="1465"/>
      <c r="CI733" s="1470">
        <f t="shared" si="38"/>
        <v>0</v>
      </c>
      <c r="CJ733" s="1471"/>
      <c r="CK733" s="1464">
        <f t="shared" si="16"/>
        <v>1</v>
      </c>
      <c r="CL733" s="1465"/>
      <c r="CM733" s="1470">
        <f t="shared" si="17"/>
        <v>1</v>
      </c>
      <c r="CN733" s="1471"/>
      <c r="CO733" s="3"/>
      <c r="CP733" s="1459">
        <f t="shared" si="18"/>
        <v>0</v>
      </c>
      <c r="CQ733" s="1460"/>
      <c r="CR733" s="1460"/>
      <c r="CS733" s="1460"/>
      <c r="CT733" s="1461"/>
      <c r="CU733" s="1443">
        <f t="shared" si="19"/>
        <v>1</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1</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f t="shared" si="31"/>
        <v>852</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 customHeight="1">
      <c r="B734" s="1337" t="s">
        <v>325</v>
      </c>
      <c r="C734" s="1338"/>
      <c r="D734" s="1338"/>
      <c r="E734" s="1338"/>
      <c r="F734" s="1339"/>
      <c r="G734" s="1350">
        <v>1</v>
      </c>
      <c r="H734" s="1351"/>
      <c r="I734" s="1351"/>
      <c r="J734" s="1352"/>
      <c r="K734" s="1343">
        <v>515</v>
      </c>
      <c r="L734" s="1344"/>
      <c r="M734" s="1344"/>
      <c r="N734" s="1345"/>
      <c r="O734" s="1340">
        <v>1420</v>
      </c>
      <c r="P734" s="1341"/>
      <c r="Q734" s="1341"/>
      <c r="R734" s="1341"/>
      <c r="S734" s="1342"/>
      <c r="T734" s="1340">
        <v>0</v>
      </c>
      <c r="U734" s="1341"/>
      <c r="V734" s="1341"/>
      <c r="W734" s="1342"/>
      <c r="X734" s="1353">
        <f t="shared" si="8"/>
        <v>1420</v>
      </c>
      <c r="Y734" s="1354"/>
      <c r="Z734" s="1354"/>
      <c r="AA734" s="1354"/>
      <c r="AB734" s="1355"/>
      <c r="AC734" s="1360">
        <v>0.5</v>
      </c>
      <c r="AD734" s="1361"/>
      <c r="AE734" s="1361"/>
      <c r="AF734" s="1361"/>
      <c r="AG734" s="1362"/>
      <c r="AH734" s="1356">
        <f t="shared" si="36"/>
        <v>0.5</v>
      </c>
      <c r="AI734" s="1357"/>
      <c r="AJ734" s="1358"/>
      <c r="AK734" s="1337" t="s">
        <v>592</v>
      </c>
      <c r="AL734" s="1338"/>
      <c r="AM734" s="1338"/>
      <c r="AN734" s="1338"/>
      <c r="AO734" s="1339"/>
      <c r="AP734" s="3"/>
      <c r="AQ734" s="3"/>
      <c r="AR734" s="3"/>
      <c r="AS734" s="3"/>
      <c r="AY734" s="1085"/>
      <c r="AZ734" s="118">
        <f t="shared" si="9"/>
        <v>2840</v>
      </c>
      <c r="BA734" s="3"/>
      <c r="BB734" s="3"/>
      <c r="BC734" s="3"/>
      <c r="BD734" s="3"/>
      <c r="BE734" s="204"/>
      <c r="BF734" s="294">
        <f t="shared" si="10"/>
        <v>1</v>
      </c>
      <c r="BG734" s="297">
        <f t="shared" si="11"/>
        <v>1.0869565217391304E-2</v>
      </c>
      <c r="BH734" s="298">
        <f t="shared" si="12"/>
        <v>5.434782608695652E-3</v>
      </c>
      <c r="BI734" s="3"/>
      <c r="BJ734" s="3"/>
      <c r="BK734" s="3"/>
      <c r="BL734" s="3"/>
      <c r="BM734" s="3"/>
      <c r="BN734" s="3"/>
      <c r="BS734" s="294">
        <f t="shared" si="13"/>
        <v>1</v>
      </c>
      <c r="BT734" s="297">
        <f t="shared" si="14"/>
        <v>1.0869565217391304E-2</v>
      </c>
      <c r="BU734" s="298">
        <f t="shared" si="15"/>
        <v>5.434782608695652E-3</v>
      </c>
      <c r="BV734" s="3"/>
      <c r="BW734" s="3"/>
      <c r="BX734" s="3"/>
      <c r="BY734" s="3"/>
      <c r="BZ734" s="3"/>
      <c r="CA734" s="3"/>
      <c r="CB734" s="3"/>
      <c r="CC734" s="3"/>
      <c r="CE734" s="3"/>
      <c r="CF734" s="3"/>
      <c r="CG734" s="1464">
        <f t="shared" si="37"/>
        <v>1</v>
      </c>
      <c r="CH734" s="1465"/>
      <c r="CI734" s="1470">
        <f t="shared" si="38"/>
        <v>1</v>
      </c>
      <c r="CJ734" s="1471"/>
      <c r="CK734" s="1464">
        <f t="shared" si="16"/>
        <v>0</v>
      </c>
      <c r="CL734" s="1465"/>
      <c r="CM734" s="1470">
        <f t="shared" si="17"/>
        <v>0</v>
      </c>
      <c r="CN734" s="1471"/>
      <c r="CO734" s="3"/>
      <c r="CP734" s="1459">
        <f t="shared" si="18"/>
        <v>0</v>
      </c>
      <c r="CQ734" s="1460"/>
      <c r="CR734" s="1460"/>
      <c r="CS734" s="1460"/>
      <c r="CT734" s="1461"/>
      <c r="CU734" s="1443">
        <f t="shared" si="19"/>
        <v>1</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f t="shared" si="31"/>
        <v>1420</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 customHeight="1">
      <c r="B735" s="1337" t="s">
        <v>325</v>
      </c>
      <c r="C735" s="1338"/>
      <c r="D735" s="1338"/>
      <c r="E735" s="1338"/>
      <c r="F735" s="1339"/>
      <c r="G735" s="1350">
        <v>2</v>
      </c>
      <c r="H735" s="1351"/>
      <c r="I735" s="1351"/>
      <c r="J735" s="1352"/>
      <c r="K735" s="1343">
        <v>515</v>
      </c>
      <c r="L735" s="1344"/>
      <c r="M735" s="1344"/>
      <c r="N735" s="1345"/>
      <c r="O735" s="1340">
        <v>1704</v>
      </c>
      <c r="P735" s="1341"/>
      <c r="Q735" s="1341"/>
      <c r="R735" s="1341"/>
      <c r="S735" s="1342"/>
      <c r="T735" s="1340">
        <v>0</v>
      </c>
      <c r="U735" s="1341"/>
      <c r="V735" s="1341"/>
      <c r="W735" s="1342"/>
      <c r="X735" s="1353">
        <f t="shared" si="8"/>
        <v>1704</v>
      </c>
      <c r="Y735" s="1354"/>
      <c r="Z735" s="1354"/>
      <c r="AA735" s="1354"/>
      <c r="AB735" s="1355"/>
      <c r="AC735" s="1360">
        <v>0.6</v>
      </c>
      <c r="AD735" s="1361"/>
      <c r="AE735" s="1361"/>
      <c r="AF735" s="1361"/>
      <c r="AG735" s="1362"/>
      <c r="AH735" s="1356">
        <f t="shared" si="36"/>
        <v>0.6</v>
      </c>
      <c r="AI735" s="1357"/>
      <c r="AJ735" s="1358"/>
      <c r="AK735" s="1337" t="s">
        <v>592</v>
      </c>
      <c r="AL735" s="1338"/>
      <c r="AM735" s="1338"/>
      <c r="AN735" s="1338"/>
      <c r="AO735" s="1339"/>
      <c r="AP735" s="3"/>
      <c r="AQ735" s="3"/>
      <c r="AR735" s="3"/>
      <c r="AS735" s="3"/>
      <c r="AY735" s="1085"/>
      <c r="AZ735" s="118">
        <f t="shared" si="9"/>
        <v>2840</v>
      </c>
      <c r="BA735" s="3"/>
      <c r="BB735" s="3"/>
      <c r="BC735" s="3"/>
      <c r="BD735" s="3"/>
      <c r="BE735" s="204"/>
      <c r="BF735" s="294">
        <f t="shared" si="10"/>
        <v>2</v>
      </c>
      <c r="BG735" s="297">
        <f t="shared" si="11"/>
        <v>2.1739130434782608E-2</v>
      </c>
      <c r="BH735" s="298">
        <f t="shared" si="12"/>
        <v>1.3043478260869565E-2</v>
      </c>
      <c r="BI735" s="3"/>
      <c r="BJ735" s="3"/>
      <c r="BK735" s="3"/>
      <c r="BL735" s="3"/>
      <c r="BM735" s="3"/>
      <c r="BN735" s="3"/>
      <c r="BS735" s="294">
        <f t="shared" si="13"/>
        <v>2</v>
      </c>
      <c r="BT735" s="297">
        <f t="shared" si="14"/>
        <v>2.1739130434782608E-2</v>
      </c>
      <c r="BU735" s="298">
        <f t="shared" si="15"/>
        <v>1.3043478260869565E-2</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2</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f t="shared" si="31"/>
        <v>1704</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 customHeight="1">
      <c r="B736" s="1337" t="s">
        <v>325</v>
      </c>
      <c r="C736" s="1338"/>
      <c r="D736" s="1338"/>
      <c r="E736" s="1338"/>
      <c r="F736" s="1339"/>
      <c r="G736" s="1350">
        <v>1</v>
      </c>
      <c r="H736" s="1351"/>
      <c r="I736" s="1351"/>
      <c r="J736" s="1352"/>
      <c r="K736" s="1343">
        <v>546</v>
      </c>
      <c r="L736" s="1344"/>
      <c r="M736" s="1344"/>
      <c r="N736" s="1345"/>
      <c r="O736" s="1340">
        <v>852</v>
      </c>
      <c r="P736" s="1341"/>
      <c r="Q736" s="1341"/>
      <c r="R736" s="1341"/>
      <c r="S736" s="1342"/>
      <c r="T736" s="1340">
        <v>0</v>
      </c>
      <c r="U736" s="1341"/>
      <c r="V736" s="1341"/>
      <c r="W736" s="1342"/>
      <c r="X736" s="1353">
        <f t="shared" si="8"/>
        <v>852</v>
      </c>
      <c r="Y736" s="1354"/>
      <c r="Z736" s="1354"/>
      <c r="AA736" s="1354"/>
      <c r="AB736" s="1355"/>
      <c r="AC736" s="1360">
        <v>0.3</v>
      </c>
      <c r="AD736" s="1361"/>
      <c r="AE736" s="1361"/>
      <c r="AF736" s="1361"/>
      <c r="AG736" s="1362"/>
      <c r="AH736" s="1356">
        <f t="shared" si="36"/>
        <v>0.3</v>
      </c>
      <c r="AI736" s="1357"/>
      <c r="AJ736" s="1358"/>
      <c r="AK736" s="1337" t="s">
        <v>592</v>
      </c>
      <c r="AL736" s="1338"/>
      <c r="AM736" s="1338"/>
      <c r="AN736" s="1338"/>
      <c r="AO736" s="1339"/>
      <c r="AP736" s="3"/>
      <c r="AQ736" s="3"/>
      <c r="AR736" s="3"/>
      <c r="AS736" s="3"/>
      <c r="AY736" s="1085"/>
      <c r="AZ736" s="118">
        <f t="shared" si="9"/>
        <v>2840</v>
      </c>
      <c r="BA736" s="3"/>
      <c r="BB736" s="3"/>
      <c r="BC736" s="3"/>
      <c r="BD736" s="3"/>
      <c r="BE736" s="204"/>
      <c r="BF736" s="294">
        <f t="shared" si="10"/>
        <v>1</v>
      </c>
      <c r="BG736" s="297">
        <f t="shared" si="11"/>
        <v>1.0869565217391304E-2</v>
      </c>
      <c r="BH736" s="298">
        <f t="shared" si="12"/>
        <v>3.2608695652173911E-3</v>
      </c>
      <c r="BI736" s="3"/>
      <c r="BJ736" s="3"/>
      <c r="BK736" s="3"/>
      <c r="BL736" s="3"/>
      <c r="BM736" s="3"/>
      <c r="BN736" s="3"/>
      <c r="BS736" s="294">
        <f t="shared" si="13"/>
        <v>1</v>
      </c>
      <c r="BT736" s="297">
        <f t="shared" si="14"/>
        <v>1.0869565217391304E-2</v>
      </c>
      <c r="BU736" s="298">
        <f t="shared" si="15"/>
        <v>3.2608695652173911E-3</v>
      </c>
      <c r="BV736" s="3"/>
      <c r="BW736" s="3"/>
      <c r="BX736" s="3"/>
      <c r="BY736" s="3"/>
      <c r="BZ736" s="3"/>
      <c r="CA736" s="3"/>
      <c r="CB736" s="3"/>
      <c r="CC736" s="3"/>
      <c r="CE736" s="3"/>
      <c r="CF736" s="3"/>
      <c r="CG736" s="1464">
        <f t="shared" si="37"/>
        <v>0</v>
      </c>
      <c r="CH736" s="1465"/>
      <c r="CI736" s="1470">
        <f t="shared" si="38"/>
        <v>0</v>
      </c>
      <c r="CJ736" s="1471"/>
      <c r="CK736" s="1464">
        <f t="shared" si="16"/>
        <v>1</v>
      </c>
      <c r="CL736" s="1465"/>
      <c r="CM736" s="1470">
        <f t="shared" si="17"/>
        <v>1</v>
      </c>
      <c r="CN736" s="1471"/>
      <c r="CO736" s="3"/>
      <c r="CP736" s="1459">
        <f t="shared" si="18"/>
        <v>0</v>
      </c>
      <c r="CQ736" s="1460"/>
      <c r="CR736" s="1460"/>
      <c r="CS736" s="1460"/>
      <c r="CT736" s="1461"/>
      <c r="CU736" s="1443">
        <f t="shared" si="19"/>
        <v>1</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1</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f t="shared" si="31"/>
        <v>852</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 customHeight="1">
      <c r="B737" s="1337" t="s">
        <v>325</v>
      </c>
      <c r="C737" s="1338"/>
      <c r="D737" s="1338"/>
      <c r="E737" s="1338"/>
      <c r="F737" s="1339"/>
      <c r="G737" s="1350">
        <v>2</v>
      </c>
      <c r="H737" s="1351"/>
      <c r="I737" s="1351"/>
      <c r="J737" s="1352"/>
      <c r="K737" s="1343">
        <v>546</v>
      </c>
      <c r="L737" s="1344"/>
      <c r="M737" s="1344"/>
      <c r="N737" s="1345"/>
      <c r="O737" s="1340">
        <v>1420</v>
      </c>
      <c r="P737" s="1341"/>
      <c r="Q737" s="1341"/>
      <c r="R737" s="1341"/>
      <c r="S737" s="1342"/>
      <c r="T737" s="1340">
        <v>0</v>
      </c>
      <c r="U737" s="1341"/>
      <c r="V737" s="1341"/>
      <c r="W737" s="1342"/>
      <c r="X737" s="1353">
        <f t="shared" si="8"/>
        <v>1420</v>
      </c>
      <c r="Y737" s="1354"/>
      <c r="Z737" s="1354"/>
      <c r="AA737" s="1354"/>
      <c r="AB737" s="1355"/>
      <c r="AC737" s="1360">
        <v>0.5</v>
      </c>
      <c r="AD737" s="1361"/>
      <c r="AE737" s="1361"/>
      <c r="AF737" s="1361"/>
      <c r="AG737" s="1362"/>
      <c r="AH737" s="1356">
        <f t="shared" si="36"/>
        <v>0.5</v>
      </c>
      <c r="AI737" s="1357"/>
      <c r="AJ737" s="1358"/>
      <c r="AK737" s="1337" t="s">
        <v>592</v>
      </c>
      <c r="AL737" s="1338"/>
      <c r="AM737" s="1338"/>
      <c r="AN737" s="1338"/>
      <c r="AO737" s="1339"/>
      <c r="AP737" s="3"/>
      <c r="AQ737" s="3"/>
      <c r="AR737" s="3"/>
      <c r="AS737" s="3"/>
      <c r="AY737" s="1085"/>
      <c r="AZ737" s="118">
        <f t="shared" si="9"/>
        <v>2840</v>
      </c>
      <c r="BA737" s="3"/>
      <c r="BB737" s="3"/>
      <c r="BC737" s="3"/>
      <c r="BD737" s="3"/>
      <c r="BE737" s="204"/>
      <c r="BF737" s="294">
        <f t="shared" si="10"/>
        <v>2</v>
      </c>
      <c r="BG737" s="297">
        <f t="shared" si="11"/>
        <v>2.1739130434782608E-2</v>
      </c>
      <c r="BH737" s="298">
        <f t="shared" si="12"/>
        <v>1.0869565217391304E-2</v>
      </c>
      <c r="BI737" s="3"/>
      <c r="BJ737" s="3"/>
      <c r="BK737" s="3"/>
      <c r="BL737" s="3"/>
      <c r="BM737" s="3"/>
      <c r="BN737" s="3"/>
      <c r="BS737" s="294">
        <f t="shared" si="13"/>
        <v>2</v>
      </c>
      <c r="BT737" s="297">
        <f t="shared" si="14"/>
        <v>2.1739130434782608E-2</v>
      </c>
      <c r="BU737" s="298">
        <f t="shared" si="15"/>
        <v>1.0869565217391304E-2</v>
      </c>
      <c r="BV737" s="3"/>
      <c r="BW737" s="3"/>
      <c r="BX737" s="3"/>
      <c r="BY737" s="3"/>
      <c r="BZ737" s="3"/>
      <c r="CA737" s="3"/>
      <c r="CB737" s="3"/>
      <c r="CC737" s="3"/>
      <c r="CE737" s="3"/>
      <c r="CF737" s="3"/>
      <c r="CG737" s="1464">
        <f t="shared" si="37"/>
        <v>1</v>
      </c>
      <c r="CH737" s="1465"/>
      <c r="CI737" s="1470">
        <f t="shared" si="38"/>
        <v>2</v>
      </c>
      <c r="CJ737" s="1471"/>
      <c r="CK737" s="1464">
        <f t="shared" si="16"/>
        <v>0</v>
      </c>
      <c r="CL737" s="1465"/>
      <c r="CM737" s="1470">
        <f t="shared" si="17"/>
        <v>0</v>
      </c>
      <c r="CN737" s="1471"/>
      <c r="CO737" s="3"/>
      <c r="CP737" s="1459">
        <f t="shared" si="18"/>
        <v>0</v>
      </c>
      <c r="CQ737" s="1460"/>
      <c r="CR737" s="1460"/>
      <c r="CS737" s="1460"/>
      <c r="CT737" s="1461"/>
      <c r="CU737" s="1443">
        <f t="shared" si="19"/>
        <v>2</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f t="shared" si="31"/>
        <v>1420</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 customHeight="1">
      <c r="B738" s="1337" t="s">
        <v>325</v>
      </c>
      <c r="C738" s="1338"/>
      <c r="D738" s="1338"/>
      <c r="E738" s="1338"/>
      <c r="F738" s="1339"/>
      <c r="G738" s="1350">
        <v>1</v>
      </c>
      <c r="H738" s="1351"/>
      <c r="I738" s="1351"/>
      <c r="J738" s="1352"/>
      <c r="K738" s="1343">
        <v>606</v>
      </c>
      <c r="L738" s="1344"/>
      <c r="M738" s="1344"/>
      <c r="N738" s="1345"/>
      <c r="O738" s="1340">
        <v>852</v>
      </c>
      <c r="P738" s="1341"/>
      <c r="Q738" s="1341"/>
      <c r="R738" s="1341"/>
      <c r="S738" s="1342"/>
      <c r="T738" s="1340">
        <v>0</v>
      </c>
      <c r="U738" s="1341"/>
      <c r="V738" s="1341"/>
      <c r="W738" s="1342"/>
      <c r="X738" s="1353">
        <f t="shared" si="8"/>
        <v>852</v>
      </c>
      <c r="Y738" s="1354"/>
      <c r="Z738" s="1354"/>
      <c r="AA738" s="1354"/>
      <c r="AB738" s="1355"/>
      <c r="AC738" s="1360">
        <v>0.3</v>
      </c>
      <c r="AD738" s="1361"/>
      <c r="AE738" s="1361"/>
      <c r="AF738" s="1361"/>
      <c r="AG738" s="1362"/>
      <c r="AH738" s="1356">
        <f t="shared" si="36"/>
        <v>0.3</v>
      </c>
      <c r="AI738" s="1357"/>
      <c r="AJ738" s="1358"/>
      <c r="AK738" s="1337" t="s">
        <v>592</v>
      </c>
      <c r="AL738" s="1338"/>
      <c r="AM738" s="1338"/>
      <c r="AN738" s="1338"/>
      <c r="AO738" s="1339"/>
      <c r="AP738" s="3"/>
      <c r="AQ738" s="3"/>
      <c r="AR738" s="3"/>
      <c r="AS738" s="3"/>
      <c r="AY738" s="1085"/>
      <c r="AZ738" s="118">
        <f t="shared" si="9"/>
        <v>2840</v>
      </c>
      <c r="BA738" s="3"/>
      <c r="BE738" s="204"/>
      <c r="BF738" s="294">
        <f t="shared" si="10"/>
        <v>1</v>
      </c>
      <c r="BG738" s="297">
        <f t="shared" si="11"/>
        <v>1.0869565217391304E-2</v>
      </c>
      <c r="BH738" s="298">
        <f t="shared" si="12"/>
        <v>3.2608695652173911E-3</v>
      </c>
      <c r="BK738" s="3"/>
      <c r="BL738" s="3"/>
      <c r="BM738" s="3"/>
      <c r="BN738" s="3"/>
      <c r="BS738" s="294">
        <f t="shared" si="13"/>
        <v>1</v>
      </c>
      <c r="BT738" s="297">
        <f t="shared" si="14"/>
        <v>1.0869565217391304E-2</v>
      </c>
      <c r="BU738" s="298">
        <f t="shared" si="15"/>
        <v>3.2608695652173911E-3</v>
      </c>
      <c r="BV738" s="3"/>
      <c r="BW738" s="3"/>
      <c r="BX738" s="3"/>
      <c r="BY738" s="3"/>
      <c r="BZ738" s="3"/>
      <c r="CA738" s="3"/>
      <c r="CB738" s="3"/>
      <c r="CC738" s="3"/>
      <c r="CE738" s="3"/>
      <c r="CF738" s="3"/>
      <c r="CG738" s="1464">
        <f t="shared" si="37"/>
        <v>0</v>
      </c>
      <c r="CH738" s="1465"/>
      <c r="CI738" s="1470">
        <f t="shared" si="38"/>
        <v>0</v>
      </c>
      <c r="CJ738" s="1471"/>
      <c r="CK738" s="1464">
        <f t="shared" si="16"/>
        <v>1</v>
      </c>
      <c r="CL738" s="1465"/>
      <c r="CM738" s="1470">
        <f t="shared" si="17"/>
        <v>1</v>
      </c>
      <c r="CN738" s="1471"/>
      <c r="CO738" s="3"/>
      <c r="CP738" s="1459">
        <f t="shared" si="18"/>
        <v>0</v>
      </c>
      <c r="CQ738" s="1460"/>
      <c r="CR738" s="1460"/>
      <c r="CS738" s="1460"/>
      <c r="CT738" s="1461"/>
      <c r="CU738" s="1443">
        <f t="shared" si="19"/>
        <v>1</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1</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f t="shared" si="31"/>
        <v>852</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 customHeight="1">
      <c r="B739" s="1337" t="s">
        <v>325</v>
      </c>
      <c r="C739" s="1338"/>
      <c r="D739" s="1338"/>
      <c r="E739" s="1338"/>
      <c r="F739" s="1339"/>
      <c r="G739" s="1350">
        <v>1</v>
      </c>
      <c r="H739" s="1351"/>
      <c r="I739" s="1351"/>
      <c r="J739" s="1352"/>
      <c r="K739" s="1343">
        <v>606</v>
      </c>
      <c r="L739" s="1344"/>
      <c r="M739" s="1344"/>
      <c r="N739" s="1345"/>
      <c r="O739" s="1340">
        <v>1420</v>
      </c>
      <c r="P739" s="1341"/>
      <c r="Q739" s="1341"/>
      <c r="R739" s="1341"/>
      <c r="S739" s="1342"/>
      <c r="T739" s="1340">
        <v>0</v>
      </c>
      <c r="U739" s="1341"/>
      <c r="V739" s="1341"/>
      <c r="W739" s="1342"/>
      <c r="X739" s="1353">
        <f t="shared" si="8"/>
        <v>1420</v>
      </c>
      <c r="Y739" s="1354"/>
      <c r="Z739" s="1354"/>
      <c r="AA739" s="1354"/>
      <c r="AB739" s="1355"/>
      <c r="AC739" s="1360">
        <v>0.5</v>
      </c>
      <c r="AD739" s="1361"/>
      <c r="AE739" s="1361"/>
      <c r="AF739" s="1361"/>
      <c r="AG739" s="1362"/>
      <c r="AH739" s="1356">
        <f t="shared" si="36"/>
        <v>0.5</v>
      </c>
      <c r="AI739" s="1357"/>
      <c r="AJ739" s="1358"/>
      <c r="AK739" s="1337" t="s">
        <v>592</v>
      </c>
      <c r="AL739" s="1338"/>
      <c r="AM739" s="1338"/>
      <c r="AN739" s="1338"/>
      <c r="AO739" s="1339"/>
      <c r="AP739" s="3"/>
      <c r="AQ739" s="3"/>
      <c r="AR739" s="3"/>
      <c r="AS739" s="3"/>
      <c r="AY739" s="1085"/>
      <c r="AZ739" s="118">
        <f t="shared" si="9"/>
        <v>2840</v>
      </c>
      <c r="BA739" s="3"/>
      <c r="BE739" s="204"/>
      <c r="BF739" s="294">
        <f t="shared" si="10"/>
        <v>1</v>
      </c>
      <c r="BG739" s="297">
        <f t="shared" si="11"/>
        <v>1.0869565217391304E-2</v>
      </c>
      <c r="BH739" s="298">
        <f t="shared" si="12"/>
        <v>5.434782608695652E-3</v>
      </c>
      <c r="BK739" s="3"/>
      <c r="BL739" s="3"/>
      <c r="BM739" s="3"/>
      <c r="BN739" s="3"/>
      <c r="BS739" s="294">
        <f t="shared" si="13"/>
        <v>1</v>
      </c>
      <c r="BT739" s="297">
        <f t="shared" si="14"/>
        <v>1.0869565217391304E-2</v>
      </c>
      <c r="BU739" s="298">
        <f t="shared" si="15"/>
        <v>5.434782608695652E-3</v>
      </c>
      <c r="BV739" s="3"/>
      <c r="BW739" s="3"/>
      <c r="BX739" s="3"/>
      <c r="BY739" s="3"/>
      <c r="BZ739" s="3"/>
      <c r="CA739" s="3"/>
      <c r="CB739" s="3"/>
      <c r="CC739" s="3"/>
      <c r="CE739" s="3"/>
      <c r="CF739" s="3"/>
      <c r="CG739" s="1464">
        <f t="shared" si="37"/>
        <v>1</v>
      </c>
      <c r="CH739" s="1465"/>
      <c r="CI739" s="1470">
        <f t="shared" si="38"/>
        <v>1</v>
      </c>
      <c r="CJ739" s="1471"/>
      <c r="CK739" s="1464">
        <f t="shared" si="16"/>
        <v>0</v>
      </c>
      <c r="CL739" s="1465"/>
      <c r="CM739" s="1470">
        <f t="shared" si="17"/>
        <v>0</v>
      </c>
      <c r="CN739" s="1471"/>
      <c r="CO739" s="3"/>
      <c r="CP739" s="1459">
        <f t="shared" si="18"/>
        <v>0</v>
      </c>
      <c r="CQ739" s="1460"/>
      <c r="CR739" s="1460"/>
      <c r="CS739" s="1460"/>
      <c r="CT739" s="1461"/>
      <c r="CU739" s="1443">
        <f t="shared" si="19"/>
        <v>1</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f t="shared" si="31"/>
        <v>1420</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 customHeight="1">
      <c r="A753"/>
      <c r="B753" s="1449" t="s">
        <v>125</v>
      </c>
      <c r="C753" s="1450"/>
      <c r="D753" s="1450"/>
      <c r="E753" s="1450"/>
      <c r="F753" s="1451"/>
      <c r="G753" s="1621">
        <f>SUM(G718:G752)</f>
        <v>92</v>
      </c>
      <c r="H753" s="1622"/>
      <c r="I753" s="1622"/>
      <c r="J753" s="1623"/>
      <c r="K753" s="902" t="s">
        <v>124</v>
      </c>
      <c r="L753" s="5"/>
      <c r="M753" s="5"/>
      <c r="N753" s="46"/>
      <c r="O753" s="1353">
        <f>SUMPRODUCT(G718:G752,O718:O752)</f>
        <v>126919</v>
      </c>
      <c r="P753" s="1354"/>
      <c r="Q753" s="1354"/>
      <c r="R753" s="1354"/>
      <c r="S753" s="1355"/>
      <c r="T753"/>
      <c r="U753"/>
      <c r="V753"/>
      <c r="W753"/>
      <c r="X753" s="904" t="s">
        <v>901</v>
      </c>
      <c r="Y753" s="903"/>
      <c r="Z753" s="903"/>
      <c r="AA753" s="903"/>
      <c r="AB753" s="905"/>
      <c r="AC753" s="1604">
        <f>BH753</f>
        <v>0.5173913043478261</v>
      </c>
      <c r="AD753" s="1605"/>
      <c r="AE753" s="1605"/>
      <c r="AF753" s="1605"/>
      <c r="AG753" s="1606"/>
      <c r="AH753" s="1604">
        <f>IFERROR(BU753,"")</f>
        <v>0.5173913043478261</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92</v>
      </c>
      <c r="BG753" s="300">
        <f>SUM(BG718:BG752)</f>
        <v>1</v>
      </c>
      <c r="BH753" s="300">
        <f>SUM(BH718:BH752)</f>
        <v>0.5173913043478261</v>
      </c>
      <c r="BI753"/>
      <c r="BJ753"/>
      <c r="BK753"/>
      <c r="BL753"/>
      <c r="BO753"/>
      <c r="BP753"/>
      <c r="BQ753"/>
      <c r="BR753"/>
      <c r="BS753" s="859">
        <f>SUM(BS718:BS752)</f>
        <v>92</v>
      </c>
      <c r="BT753" s="300">
        <f>SUM(BT718:BT752)</f>
        <v>1</v>
      </c>
      <c r="BU753" s="300">
        <f>SUM(BU718:BU752)</f>
        <v>0.5173913043478261</v>
      </c>
      <c r="CI753" s="1464">
        <f>SUM(CI718:CJ752)</f>
        <v>37</v>
      </c>
      <c r="CJ753" s="1465"/>
      <c r="CM753" s="1464">
        <f>SUM(CM718:CN752)</f>
        <v>13</v>
      </c>
      <c r="CN753" s="1465"/>
      <c r="CP753" s="1464">
        <f>SUM(CP718:CT752)</f>
        <v>83</v>
      </c>
      <c r="CQ753" s="1466"/>
      <c r="CR753" s="1466"/>
      <c r="CS753" s="1466"/>
      <c r="CT753" s="1465"/>
      <c r="CU753" s="1462">
        <f>SUM(CU718:CY752)</f>
        <v>9</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10</v>
      </c>
      <c r="DV753" s="1462"/>
      <c r="DW753" s="1462"/>
      <c r="DX753" s="1462"/>
      <c r="DY753" s="1462"/>
      <c r="DZ753" s="1462">
        <f>SUM(DZ718:ED752)</f>
        <v>3</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18550</v>
      </c>
      <c r="FA753" s="1462"/>
      <c r="FB753" s="1462"/>
      <c r="FC753" s="1462"/>
      <c r="FD753" s="1462"/>
      <c r="FE753" s="1462">
        <f>SUM(FE718:FI752)</f>
        <v>8520</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4">
        <f>CP753+CU753+CZ753+DE753+DJ753+DO753</f>
        <v>92</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83</v>
      </c>
      <c r="CU755" s="3"/>
      <c r="CV755" s="3"/>
      <c r="CW755" s="3"/>
      <c r="CX755" s="3"/>
      <c r="CY755" s="861">
        <f>CU753*1</f>
        <v>9</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92</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462">
        <f>DU755</f>
        <v>92</v>
      </c>
      <c r="P756" s="1462"/>
      <c r="Q756" s="1462"/>
      <c r="R756" s="1462"/>
      <c r="S756" s="969"/>
      <c r="T756" s="969"/>
      <c r="U756" s="118" t="s">
        <v>1893</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670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389</v>
      </c>
      <c r="K769" s="1364"/>
      <c r="L769" s="1364"/>
      <c r="M769" s="1364"/>
      <c r="N769" s="1365"/>
      <c r="O769" s="1619" t="s">
        <v>285</v>
      </c>
      <c r="P769" s="1619"/>
      <c r="Q769" s="1619"/>
      <c r="R769" s="1619"/>
      <c r="S769" s="1619"/>
      <c r="T769" s="1720" t="s">
        <v>1680</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t="s">
        <v>324</v>
      </c>
      <c r="K773" s="1338"/>
      <c r="L773" s="1338"/>
      <c r="M773" s="1338"/>
      <c r="N773" s="1339"/>
      <c r="O773" s="1613">
        <v>1</v>
      </c>
      <c r="P773" s="1613"/>
      <c r="Q773" s="1613"/>
      <c r="R773" s="1613"/>
      <c r="S773" s="1613"/>
      <c r="T773" s="1343">
        <v>334</v>
      </c>
      <c r="U773" s="1344"/>
      <c r="V773" s="1344"/>
      <c r="W773" s="1345"/>
      <c r="X773" s="1340">
        <v>1745</v>
      </c>
      <c r="Y773" s="1341"/>
      <c r="Z773" s="1341"/>
      <c r="AA773" s="1341"/>
      <c r="AB773" s="1342"/>
      <c r="AC773" s="1353">
        <f>X773*O773</f>
        <v>1745</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1</v>
      </c>
      <c r="CQ773" s="1460"/>
      <c r="CR773" s="1460"/>
      <c r="CS773" s="1460"/>
      <c r="CT773" s="1461"/>
      <c r="CU773" s="1443">
        <f>IF(J773="1 Bedroom",O773,0)</f>
        <v>0</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 customHeight="1">
      <c r="J774" s="1337" t="s">
        <v>324</v>
      </c>
      <c r="K774" s="1338"/>
      <c r="L774" s="1338"/>
      <c r="M774" s="1338"/>
      <c r="N774" s="1339"/>
      <c r="O774" s="1613">
        <v>1</v>
      </c>
      <c r="P774" s="1613"/>
      <c r="Q774" s="1613"/>
      <c r="R774" s="1613"/>
      <c r="S774" s="1613"/>
      <c r="T774" s="1343">
        <v>471</v>
      </c>
      <c r="U774" s="1344"/>
      <c r="V774" s="1344"/>
      <c r="W774" s="1345"/>
      <c r="X774" s="1340">
        <v>1970</v>
      </c>
      <c r="Y774" s="1341"/>
      <c r="Z774" s="1341"/>
      <c r="AA774" s="1341"/>
      <c r="AB774" s="1342"/>
      <c r="AC774" s="1353">
        <f>X774*O774</f>
        <v>1970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1</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 customHeight="1">
      <c r="J775" s="1337" t="s">
        <v>324</v>
      </c>
      <c r="K775" s="1338"/>
      <c r="L775" s="1338"/>
      <c r="M775" s="1338"/>
      <c r="N775" s="1339"/>
      <c r="O775" s="1613">
        <v>1</v>
      </c>
      <c r="P775" s="1613"/>
      <c r="Q775" s="1613"/>
      <c r="R775" s="1613"/>
      <c r="S775" s="1613"/>
      <c r="T775" s="1343">
        <v>437</v>
      </c>
      <c r="U775" s="1344"/>
      <c r="V775" s="1344"/>
      <c r="W775" s="1345"/>
      <c r="X775" s="1340">
        <v>1970</v>
      </c>
      <c r="Y775" s="1341"/>
      <c r="Z775" s="1341"/>
      <c r="AA775" s="1341"/>
      <c r="AB775" s="1342"/>
      <c r="AC775" s="1353">
        <f>X775*O775</f>
        <v>1970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1</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 customHeight="1">
      <c r="J776" s="1337" t="s">
        <v>325</v>
      </c>
      <c r="K776" s="1338"/>
      <c r="L776" s="1338"/>
      <c r="M776" s="1338"/>
      <c r="N776" s="1339"/>
      <c r="O776" s="1613">
        <v>1</v>
      </c>
      <c r="P776" s="1613"/>
      <c r="Q776" s="1613"/>
      <c r="R776" s="1613"/>
      <c r="S776" s="1613"/>
      <c r="T776" s="1343">
        <v>606</v>
      </c>
      <c r="U776" s="1344"/>
      <c r="V776" s="1344"/>
      <c r="W776" s="1345"/>
      <c r="X776" s="1340">
        <v>2115</v>
      </c>
      <c r="Y776" s="1341"/>
      <c r="Z776" s="1341"/>
      <c r="AA776" s="1341"/>
      <c r="AB776" s="1342"/>
      <c r="AC776" s="1353">
        <f>X776*O776</f>
        <v>2115</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1</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 customHeight="1">
      <c r="J777" s="1449" t="s">
        <v>125</v>
      </c>
      <c r="K777" s="1450"/>
      <c r="L777" s="1450"/>
      <c r="M777" s="1450"/>
      <c r="N777" s="1451"/>
      <c r="O777" s="1470">
        <f>SUM(O773:S776)</f>
        <v>4</v>
      </c>
      <c r="P777" s="1472"/>
      <c r="Q777" s="1472"/>
      <c r="R777" s="1472"/>
      <c r="S777" s="1471"/>
      <c r="X777" s="1449" t="s">
        <v>124</v>
      </c>
      <c r="Y777" s="1450"/>
      <c r="Z777" s="1450"/>
      <c r="AA777" s="1450"/>
      <c r="AB777" s="1451"/>
      <c r="AC777" s="1353">
        <f>SUM(AC773:AG776)</f>
        <v>7800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3</v>
      </c>
      <c r="CQ777" s="1472"/>
      <c r="CR777" s="1472"/>
      <c r="CS777" s="1472"/>
      <c r="CT777" s="1471"/>
      <c r="CU777" s="1473">
        <f>SUM(CU773:CY776)</f>
        <v>1</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4</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3</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389</v>
      </c>
      <c r="K783" s="1364"/>
      <c r="L783" s="1364"/>
      <c r="M783" s="1364"/>
      <c r="N783" s="1365"/>
      <c r="O783" s="1619" t="s">
        <v>285</v>
      </c>
      <c r="P783" s="1619"/>
      <c r="Q783" s="1619"/>
      <c r="R783" s="1619"/>
      <c r="S783" s="1619"/>
      <c r="T783" s="1720" t="s">
        <v>1680</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0">
        <f>SUM(DU797:EX797)</f>
        <v>0</v>
      </c>
      <c r="EU799" s="1861"/>
      <c r="EV799" s="1861"/>
      <c r="EW799" s="1861"/>
      <c r="EX799" s="1862"/>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134719</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1616628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86</v>
      </c>
      <c r="CQ802" s="1474"/>
      <c r="CR802" s="1474"/>
      <c r="CS802" s="1474"/>
      <c r="CT802" s="1475"/>
      <c r="CU802" s="1473">
        <f>CU753+CU777+CU797</f>
        <v>10</v>
      </c>
      <c r="CV802" s="1474"/>
      <c r="CW802" s="1474"/>
      <c r="CX802" s="1474"/>
      <c r="CY802" s="1475"/>
      <c r="CZ802" s="1473">
        <f>CZ753+CZ777+CZ797</f>
        <v>0</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92</v>
      </c>
      <c r="DV802" s="57" t="s">
        <v>1864</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96</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50801</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535812</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4000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3" t="s">
        <v>2715</v>
      </c>
      <c r="Q816" s="1594"/>
      <c r="R816" s="1594"/>
      <c r="S816" s="1594"/>
      <c r="T816" s="1594"/>
      <c r="U816" s="1594"/>
      <c r="V816" s="1594"/>
      <c r="W816" s="1594"/>
      <c r="X816" s="1594"/>
      <c r="Y816" s="1595"/>
      <c r="Z816" s="1467">
        <v>1000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5000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2157440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7"/>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2">
        <v>2500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2">
        <v>3000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2">
        <v>12000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2">
        <v>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 customHeight="1">
      <c r="J846" s="45" t="s">
        <v>170</v>
      </c>
      <c r="K846" s="5"/>
      <c r="L846" s="5"/>
      <c r="M846" s="1593" t="s">
        <v>2716</v>
      </c>
      <c r="N846" s="1594"/>
      <c r="O846" s="1594"/>
      <c r="P846" s="1594"/>
      <c r="Q846" s="1594"/>
      <c r="R846" s="1594"/>
      <c r="S846" s="1594"/>
      <c r="T846" s="1594"/>
      <c r="U846" s="1594"/>
      <c r="V846" s="1595"/>
      <c r="W846" s="1482">
        <v>25000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5">
        <f>SUM(W842:W846)</f>
        <v>42500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8"/>
      <c r="BH848" s="1628"/>
      <c r="BI848" s="1628"/>
      <c r="BJ848" s="1628"/>
      <c r="BK848" s="1628"/>
      <c r="BL848" s="1628"/>
    </row>
    <row r="849" spans="3:55" ht="12.9" customHeight="1">
      <c r="C849" s="2" t="s">
        <v>344</v>
      </c>
      <c r="J849" s="1449" t="s">
        <v>345</v>
      </c>
      <c r="K849" s="1450"/>
      <c r="L849" s="1450"/>
      <c r="M849" s="1450"/>
      <c r="N849" s="1450"/>
      <c r="O849" s="1450"/>
      <c r="P849" s="1450"/>
      <c r="Q849" s="1450"/>
      <c r="R849" s="1450"/>
      <c r="S849" s="1450"/>
      <c r="T849" s="1450"/>
      <c r="U849" s="1450"/>
      <c r="V849" s="1451"/>
      <c r="W849" s="1467">
        <v>82719</v>
      </c>
      <c r="X849" s="1468"/>
      <c r="Y849" s="1468"/>
      <c r="Z849" s="1468"/>
      <c r="AA849" s="1468"/>
      <c r="AB849" s="1468"/>
      <c r="AC849" s="1469"/>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 customHeight="1">
      <c r="J852" s="45" t="s">
        <v>351</v>
      </c>
      <c r="K852" s="5"/>
      <c r="L852" s="5"/>
      <c r="M852" s="5"/>
      <c r="N852" s="5"/>
      <c r="O852" s="5"/>
      <c r="P852" s="5"/>
      <c r="Q852" s="5"/>
      <c r="R852" s="5"/>
      <c r="S852" s="5"/>
      <c r="T852" s="5"/>
      <c r="U852" s="5"/>
      <c r="V852" s="46"/>
      <c r="W852" s="1651">
        <v>40000</v>
      </c>
      <c r="X852" s="1651"/>
      <c r="Y852" s="1651"/>
      <c r="Z852" s="1651"/>
      <c r="AA852" s="1651"/>
      <c r="AB852" s="1651"/>
      <c r="AC852" s="1651"/>
      <c r="AZ852" s="30"/>
      <c r="BA852" s="30"/>
      <c r="BB852" s="14"/>
      <c r="BC852" s="14"/>
    </row>
    <row r="853" spans="3:55" ht="12.9" customHeight="1">
      <c r="J853" s="45" t="s">
        <v>460</v>
      </c>
      <c r="K853" s="5"/>
      <c r="L853" s="5"/>
      <c r="M853" s="5"/>
      <c r="N853" s="5"/>
      <c r="O853" s="5"/>
      <c r="P853" s="5"/>
      <c r="Q853" s="5"/>
      <c r="R853" s="5"/>
      <c r="S853" s="5"/>
      <c r="T853" s="5"/>
      <c r="U853" s="5"/>
      <c r="V853" s="46"/>
      <c r="W853" s="1651">
        <v>30000</v>
      </c>
      <c r="X853" s="1651"/>
      <c r="Y853" s="1651"/>
      <c r="Z853" s="1651"/>
      <c r="AA853" s="1651"/>
      <c r="AB853" s="1651"/>
      <c r="AC853" s="1651"/>
      <c r="AZ853" s="30"/>
      <c r="BA853" s="30"/>
      <c r="BB853" s="14"/>
      <c r="BC853" s="14"/>
    </row>
    <row r="854" spans="3:55" ht="12.9" customHeight="1">
      <c r="J854" s="62" t="s">
        <v>621</v>
      </c>
      <c r="K854" s="5"/>
      <c r="L854" s="5"/>
      <c r="M854" s="5"/>
      <c r="N854" s="5"/>
      <c r="O854" s="5"/>
      <c r="P854" s="5"/>
      <c r="Q854" s="5"/>
      <c r="R854" s="5"/>
      <c r="S854" s="5"/>
      <c r="T854" s="5"/>
      <c r="U854" s="5"/>
      <c r="V854" s="46"/>
      <c r="W854" s="1651">
        <v>50000</v>
      </c>
      <c r="X854" s="1651"/>
      <c r="Y854" s="1651"/>
      <c r="Z854" s="1651"/>
      <c r="AA854" s="1651"/>
      <c r="AB854" s="1651"/>
      <c r="AC854" s="1651"/>
      <c r="AZ854" s="34"/>
      <c r="BA854" s="34"/>
      <c r="BB854" s="34"/>
      <c r="BC854" s="34"/>
    </row>
    <row r="855" spans="3:55" ht="12.9" customHeight="1">
      <c r="J855" s="63"/>
      <c r="K855" s="48"/>
      <c r="L855" s="48"/>
      <c r="M855" s="48"/>
      <c r="N855" s="48"/>
      <c r="O855" s="48"/>
      <c r="P855" s="48"/>
      <c r="Q855" s="48"/>
      <c r="R855" s="48"/>
      <c r="S855" s="48"/>
      <c r="T855" s="48"/>
      <c r="U855" s="48"/>
      <c r="V855" s="54" t="s">
        <v>272</v>
      </c>
      <c r="W855" s="1706">
        <f>SUM(W851:W854)</f>
        <v>120000</v>
      </c>
      <c r="X855" s="1706"/>
      <c r="Y855" s="1706"/>
      <c r="Z855" s="1706"/>
      <c r="AA855" s="1706"/>
      <c r="AB855" s="1706"/>
      <c r="AC855" s="1706"/>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30">
        <v>95912</v>
      </c>
      <c r="X857" s="1631"/>
      <c r="Y857" s="1631"/>
      <c r="Z857" s="1631"/>
      <c r="AA857" s="1631"/>
      <c r="AB857" s="1631"/>
      <c r="AC857" s="1632"/>
      <c r="AD857" s="528"/>
      <c r="AZ857" s="34"/>
      <c r="BA857" s="34"/>
      <c r="BB857" s="34"/>
      <c r="BC857" s="34"/>
    </row>
    <row r="858" spans="3:55" ht="12.9" customHeight="1">
      <c r="C858" s="2" t="s">
        <v>347</v>
      </c>
      <c r="J858" s="121" t="s">
        <v>1656</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30">
        <v>120588</v>
      </c>
      <c r="X859" s="1631"/>
      <c r="Y859" s="1631"/>
      <c r="Z859" s="1631"/>
      <c r="AA859" s="1631"/>
      <c r="AB859" s="1631"/>
      <c r="AC859" s="1632"/>
      <c r="AD859" s="533"/>
      <c r="AZ859" s="34"/>
      <c r="BA859" s="34"/>
      <c r="BB859" s="34"/>
      <c r="BC859" s="34"/>
    </row>
    <row r="860" spans="3:55" ht="12.9" customHeight="1">
      <c r="C860" s="2"/>
      <c r="J860" s="121" t="s">
        <v>1657</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 customHeight="1">
      <c r="J861" s="45" t="s">
        <v>170</v>
      </c>
      <c r="K861" s="5"/>
      <c r="L861" s="5"/>
      <c r="M861" s="1593" t="s">
        <v>334</v>
      </c>
      <c r="N861" s="1594"/>
      <c r="O861" s="1594"/>
      <c r="P861" s="1594"/>
      <c r="Q861" s="1594"/>
      <c r="R861" s="1594"/>
      <c r="S861" s="1594"/>
      <c r="T861" s="1594"/>
      <c r="U861" s="1594"/>
      <c r="V861" s="1595"/>
      <c r="W861" s="1630"/>
      <c r="X861" s="1631"/>
      <c r="Y861" s="1631"/>
      <c r="Z861" s="1631"/>
      <c r="AA861" s="1631"/>
      <c r="AB861" s="1631"/>
      <c r="AC861" s="1632"/>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712">
        <f>SUM(W857:W861)</f>
        <v>216500</v>
      </c>
      <c r="X862" s="1713"/>
      <c r="Y862" s="1713"/>
      <c r="Z862" s="1713"/>
      <c r="AA862" s="1713"/>
      <c r="AB862" s="1713"/>
      <c r="AC862" s="1714"/>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30">
        <v>160000</v>
      </c>
      <c r="X863" s="1631"/>
      <c r="Y863" s="1631"/>
      <c r="Z863" s="1631"/>
      <c r="AA863" s="1631"/>
      <c r="AB863" s="1631"/>
      <c r="AC863" s="1632"/>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2.9" customHeight="1">
      <c r="J866" s="45" t="s">
        <v>523</v>
      </c>
      <c r="K866" s="5"/>
      <c r="L866" s="5"/>
      <c r="M866" s="5"/>
      <c r="N866" s="5"/>
      <c r="O866" s="5"/>
      <c r="P866" s="5"/>
      <c r="Q866" s="5"/>
      <c r="R866" s="5"/>
      <c r="S866" s="5"/>
      <c r="T866" s="5"/>
      <c r="U866" s="5"/>
      <c r="V866" s="46"/>
      <c r="W866" s="1482">
        <v>55000</v>
      </c>
      <c r="X866" s="1482"/>
      <c r="Y866" s="1482"/>
      <c r="Z866" s="1482"/>
      <c r="AA866" s="1482"/>
      <c r="AB866" s="1482"/>
      <c r="AC866" s="1482"/>
      <c r="AU866" s="4"/>
      <c r="AZ866" s="34"/>
      <c r="BA866" s="34"/>
      <c r="BB866" s="34"/>
      <c r="BC866" s="34"/>
    </row>
    <row r="867" spans="3:55" ht="12.9" customHeight="1">
      <c r="J867" s="45" t="s">
        <v>522</v>
      </c>
      <c r="K867" s="5"/>
      <c r="L867" s="5"/>
      <c r="M867" s="5"/>
      <c r="N867" s="5"/>
      <c r="O867" s="5"/>
      <c r="P867" s="5"/>
      <c r="Q867" s="5"/>
      <c r="R867" s="5"/>
      <c r="S867" s="5"/>
      <c r="T867" s="5"/>
      <c r="U867" s="5"/>
      <c r="V867" s="46"/>
      <c r="W867" s="1482">
        <v>15000</v>
      </c>
      <c r="X867" s="1482"/>
      <c r="Y867" s="1482"/>
      <c r="Z867" s="1482"/>
      <c r="AA867" s="1482"/>
      <c r="AB867" s="1482"/>
      <c r="AC867" s="1482"/>
      <c r="AU867" s="4"/>
      <c r="AZ867" s="34"/>
      <c r="BA867" s="34"/>
      <c r="BB867" s="34"/>
      <c r="BC867" s="34"/>
    </row>
    <row r="868" spans="3:55" ht="12.9" customHeight="1">
      <c r="J868" s="45" t="s">
        <v>521</v>
      </c>
      <c r="K868" s="5"/>
      <c r="L868" s="5"/>
      <c r="M868" s="5"/>
      <c r="N868" s="5"/>
      <c r="O868" s="5"/>
      <c r="P868" s="5"/>
      <c r="Q868" s="5"/>
      <c r="R868" s="5"/>
      <c r="S868" s="5"/>
      <c r="T868" s="5"/>
      <c r="U868" s="5"/>
      <c r="V868" s="46"/>
      <c r="W868" s="1482">
        <v>9000</v>
      </c>
      <c r="X868" s="1482"/>
      <c r="Y868" s="1482"/>
      <c r="Z868" s="1482"/>
      <c r="AA868" s="1482"/>
      <c r="AB868" s="1482"/>
      <c r="AC868" s="1482"/>
      <c r="AU868" s="4"/>
      <c r="AZ868" s="34"/>
      <c r="BA868" s="34"/>
      <c r="BB868" s="34"/>
      <c r="BC868" s="34"/>
    </row>
    <row r="869" spans="3:55" ht="12.9" customHeight="1">
      <c r="J869" s="45" t="s">
        <v>520</v>
      </c>
      <c r="K869" s="5"/>
      <c r="L869" s="5"/>
      <c r="M869" s="5"/>
      <c r="N869" s="5"/>
      <c r="O869" s="5"/>
      <c r="P869" s="5"/>
      <c r="Q869" s="5"/>
      <c r="R869" s="5"/>
      <c r="S869" s="5"/>
      <c r="T869" s="5"/>
      <c r="U869" s="5"/>
      <c r="V869" s="46"/>
      <c r="W869" s="1482">
        <v>2500</v>
      </c>
      <c r="X869" s="1482"/>
      <c r="Y869" s="1482"/>
      <c r="Z869" s="1482"/>
      <c r="AA869" s="1482"/>
      <c r="AB869" s="1482"/>
      <c r="AC869" s="1482"/>
      <c r="AU869" s="4"/>
      <c r="AZ869" s="34"/>
      <c r="BA869" s="34"/>
      <c r="BB869" s="34"/>
      <c r="BC869" s="34"/>
    </row>
    <row r="870" spans="3:55" ht="12.9"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 customHeight="1">
      <c r="J871" s="45" t="s">
        <v>170</v>
      </c>
      <c r="K871" s="5"/>
      <c r="L871" s="5"/>
      <c r="M871" s="1593" t="s">
        <v>2717</v>
      </c>
      <c r="N871" s="1594"/>
      <c r="O871" s="1594"/>
      <c r="P871" s="1594"/>
      <c r="Q871" s="1594"/>
      <c r="R871" s="1594"/>
      <c r="S871" s="1594"/>
      <c r="T871" s="1594"/>
      <c r="U871" s="1594"/>
      <c r="V871" s="1595"/>
      <c r="W871" s="1482">
        <f>17000+8506+1581</f>
        <v>27087</v>
      </c>
      <c r="X871" s="1482"/>
      <c r="Y871" s="1482"/>
      <c r="Z871" s="1482"/>
      <c r="AA871" s="1482"/>
      <c r="AB871" s="1482"/>
      <c r="AC871" s="148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4">
        <f>SUM(W865:W871)</f>
        <v>108587</v>
      </c>
      <c r="X872" s="1704"/>
      <c r="Y872" s="1704"/>
      <c r="Z872" s="1704"/>
      <c r="AA872" s="1704"/>
      <c r="AB872" s="1704"/>
      <c r="AC872" s="17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593" t="s">
        <v>334</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2.9" customHeight="1">
      <c r="C875" s="2" t="s">
        <v>1245</v>
      </c>
      <c r="J875" s="45" t="s">
        <v>170</v>
      </c>
      <c r="K875" s="5"/>
      <c r="L875" s="5"/>
      <c r="M875" s="1593" t="s">
        <v>334</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2.9" customHeight="1">
      <c r="J876" s="45" t="s">
        <v>170</v>
      </c>
      <c r="K876" s="5"/>
      <c r="L876" s="5"/>
      <c r="M876" s="1593" t="s">
        <v>334</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3" t="s">
        <v>334</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3" t="s">
        <v>334</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730306</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96</v>
      </c>
      <c r="AD884" s="1715"/>
      <c r="AE884" s="1715"/>
      <c r="AF884" s="1715"/>
      <c r="AG884" s="1715"/>
      <c r="AH884" s="1716"/>
      <c r="AL884" s="4"/>
      <c r="AM884" s="4"/>
      <c r="AN884" s="4"/>
      <c r="AO884" s="4"/>
      <c r="AP884" s="4"/>
      <c r="AQ884" s="4"/>
      <c r="AR884" s="4"/>
      <c r="AS884" s="4"/>
      <c r="AT884" s="4"/>
      <c r="AZ884" s="34"/>
      <c r="BA884" s="34"/>
      <c r="BB884" s="34"/>
      <c r="BC884" s="34"/>
    </row>
    <row r="885" spans="3:55" ht="12.9"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7607</v>
      </c>
      <c r="AD885" s="1704"/>
      <c r="AE885" s="1704"/>
      <c r="AF885" s="1704"/>
      <c r="AG885" s="1704"/>
      <c r="AH885" s="17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v>450000</v>
      </c>
      <c r="AD886" s="1718"/>
      <c r="AE886" s="1718"/>
      <c r="AF886" s="1718"/>
      <c r="AG886" s="1718"/>
      <c r="AH886" s="171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11494</v>
      </c>
      <c r="AD888" s="1468"/>
      <c r="AE888" s="1468"/>
      <c r="AF888" s="1468"/>
      <c r="AG888" s="1468"/>
      <c r="AH888" s="146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33600</v>
      </c>
      <c r="AD889" s="1468"/>
      <c r="AE889" s="1468"/>
      <c r="AF889" s="1468"/>
      <c r="AG889" s="1468"/>
      <c r="AH889" s="146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c r="AD890" s="1477"/>
      <c r="AE890" s="1477"/>
      <c r="AF890" s="1477"/>
      <c r="AG890" s="1477"/>
      <c r="AH890" s="1478"/>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7000</v>
      </c>
      <c r="AD891" s="1468"/>
      <c r="AE891" s="1468"/>
      <c r="AF891" s="1468"/>
      <c r="AG891" s="1468"/>
      <c r="AH891" s="1469"/>
      <c r="AZ891" s="34"/>
      <c r="BA891" s="34"/>
      <c r="BB891" s="34"/>
      <c r="BC891" s="34"/>
    </row>
    <row r="892" spans="3:55" ht="12.9"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c r="AD894" s="1482"/>
      <c r="AE894" s="1482"/>
      <c r="AF894" s="1482"/>
      <c r="AG894" s="1482"/>
      <c r="AH894" s="1482"/>
      <c r="AZ894" s="34"/>
      <c r="BA894" s="34"/>
      <c r="BB894" s="34"/>
      <c r="BC894" s="34"/>
    </row>
    <row r="895" spans="3:55" ht="12.9"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2.9"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2.9"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 customHeight="1">
      <c r="AZ909" s="34"/>
      <c r="BB909" s="30"/>
      <c r="BC909" s="816"/>
    </row>
    <row r="910" spans="1:58" ht="12.9"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402" t="s">
        <v>592</v>
      </c>
      <c r="V918" s="1403"/>
      <c r="W918" s="1403"/>
      <c r="X918" s="1403"/>
      <c r="Y918" s="1403"/>
      <c r="Z918" s="1404"/>
      <c r="AA918" s="1408">
        <v>10750000</v>
      </c>
      <c r="AB918" s="1409"/>
      <c r="AC918" s="1409"/>
      <c r="AD918" s="1409"/>
      <c r="AE918" s="1409"/>
      <c r="AF918" s="1410"/>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 customHeight="1">
      <c r="F926" s="1601" t="s">
        <v>2193</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2.9"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2.9" customHeight="1">
      <c r="F928" s="1601" t="s">
        <v>2194</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2.9" customHeight="1">
      <c r="F929" s="1601" t="s">
        <v>2195</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2.9" customHeight="1">
      <c r="F930" s="1601" t="s">
        <v>2196</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2.9" customHeight="1">
      <c r="F931" s="1601" t="s">
        <v>2197</v>
      </c>
      <c r="G931" s="1602"/>
      <c r="H931" s="1602"/>
      <c r="I931" s="1602"/>
      <c r="J931" s="1602"/>
      <c r="K931" s="1602"/>
      <c r="L931" s="1602"/>
      <c r="M931" s="1602"/>
      <c r="N931" s="1602"/>
      <c r="O931" s="1602"/>
      <c r="P931" s="1602"/>
      <c r="Q931" s="1602"/>
      <c r="R931" s="1602"/>
      <c r="S931" s="1602"/>
      <c r="T931" s="1603"/>
      <c r="U931" s="1402" t="s">
        <v>592</v>
      </c>
      <c r="V931" s="1403"/>
      <c r="W931" s="1403"/>
      <c r="X931" s="1403"/>
      <c r="Y931" s="1403"/>
      <c r="Z931" s="1404"/>
      <c r="AA931" s="1408"/>
      <c r="AB931" s="1409"/>
      <c r="AC931" s="1409"/>
      <c r="AD931" s="1409"/>
      <c r="AE931" s="1409"/>
      <c r="AF931" s="1410"/>
      <c r="AU931" s="2"/>
      <c r="AZ931" s="34"/>
      <c r="BA931" s="34"/>
      <c r="BB931" s="34"/>
      <c r="BC931" s="34"/>
    </row>
    <row r="932" spans="6:55" ht="12.9" customHeight="1">
      <c r="F932" s="1601" t="s">
        <v>2198</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2.9"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 customHeight="1">
      <c r="F936" s="1639" t="s">
        <v>2202</v>
      </c>
      <c r="G936" s="1640"/>
      <c r="H936" s="1640"/>
      <c r="I936" s="1640"/>
      <c r="J936" s="1640"/>
      <c r="K936" s="1640"/>
      <c r="L936" s="1640"/>
      <c r="M936" s="1640"/>
      <c r="N936" s="1640"/>
      <c r="O936" s="1640"/>
      <c r="P936" s="1640"/>
      <c r="Q936" s="1640"/>
      <c r="R936" s="1640"/>
      <c r="S936" s="1640"/>
      <c r="T936" s="1641"/>
      <c r="U936" s="1402" t="s">
        <v>592</v>
      </c>
      <c r="V936" s="1403"/>
      <c r="W936" s="1403"/>
      <c r="X936" s="1403"/>
      <c r="Y936" s="1403"/>
      <c r="Z936" s="1404"/>
      <c r="AA936" s="1408"/>
      <c r="AB936" s="1409"/>
      <c r="AC936" s="1409"/>
      <c r="AD936" s="1409"/>
      <c r="AE936" s="1409"/>
      <c r="AF936" s="1410"/>
      <c r="AZ936" s="30"/>
      <c r="BA936" s="14"/>
    </row>
    <row r="937" spans="6:55" ht="12.9" customHeight="1">
      <c r="F937" s="1639" t="s">
        <v>2203</v>
      </c>
      <c r="G937" s="1640"/>
      <c r="H937" s="1640"/>
      <c r="I937" s="1640"/>
      <c r="J937" s="1640"/>
      <c r="K937" s="1640"/>
      <c r="L937" s="1640"/>
      <c r="M937" s="1640"/>
      <c r="N937" s="1640"/>
      <c r="O937" s="1640"/>
      <c r="P937" s="1640"/>
      <c r="Q937" s="1640"/>
      <c r="R937" s="1640"/>
      <c r="S937" s="1640"/>
      <c r="T937" s="1641"/>
      <c r="U937" s="1402" t="s">
        <v>592</v>
      </c>
      <c r="V937" s="1403"/>
      <c r="W937" s="1403"/>
      <c r="X937" s="1403"/>
      <c r="Y937" s="1403"/>
      <c r="Z937" s="1404"/>
      <c r="AA937" s="1408"/>
      <c r="AB937" s="1409"/>
      <c r="AC937" s="1409"/>
      <c r="AD937" s="1409"/>
      <c r="AE937" s="1409"/>
      <c r="AF937" s="1410"/>
      <c r="AZ937" s="30"/>
      <c r="BA937" s="30"/>
    </row>
    <row r="938" spans="6:55" ht="12.9" customHeight="1">
      <c r="F938" s="1601" t="s">
        <v>2199</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2.9" customHeight="1">
      <c r="F939" s="1601" t="s">
        <v>2200</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2.9" customHeight="1">
      <c r="F940" s="1601" t="s">
        <v>2201</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 customHeight="1">
      <c r="F942" s="1639" t="s">
        <v>2204</v>
      </c>
      <c r="G942" s="1640"/>
      <c r="H942" s="1640"/>
      <c r="I942" s="1640"/>
      <c r="J942" s="1640"/>
      <c r="K942" s="1640"/>
      <c r="L942" s="1640"/>
      <c r="M942" s="1640"/>
      <c r="N942" s="1640"/>
      <c r="O942" s="1640"/>
      <c r="P942" s="1640"/>
      <c r="Q942" s="1640"/>
      <c r="R942" s="1640"/>
      <c r="S942" s="1640"/>
      <c r="T942" s="1641"/>
      <c r="U942" s="1402" t="s">
        <v>592</v>
      </c>
      <c r="V942" s="1403"/>
      <c r="W942" s="1403"/>
      <c r="X942" s="1403"/>
      <c r="Y942" s="1403"/>
      <c r="Z942" s="1404"/>
      <c r="AA942" s="1408"/>
      <c r="AB942" s="1409"/>
      <c r="AC942" s="1409"/>
      <c r="AD942" s="1409"/>
      <c r="AE942" s="1409"/>
      <c r="AF942" s="1410"/>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 customHeight="1">
      <c r="F944" s="1639" t="s">
        <v>2205</v>
      </c>
      <c r="G944" s="1640"/>
      <c r="H944" s="1640"/>
      <c r="I944" s="1640"/>
      <c r="J944" s="1640"/>
      <c r="K944" s="1640"/>
      <c r="L944" s="1640"/>
      <c r="M944" s="1640"/>
      <c r="N944" s="1640"/>
      <c r="O944" s="1640"/>
      <c r="P944" s="1640"/>
      <c r="Q944" s="1640"/>
      <c r="R944" s="1640"/>
      <c r="S944" s="1640"/>
      <c r="T944" s="1641"/>
      <c r="U944" s="1402" t="s">
        <v>592</v>
      </c>
      <c r="V944" s="1403"/>
      <c r="W944" s="1403"/>
      <c r="X944" s="1403"/>
      <c r="Y944" s="1403"/>
      <c r="Z944" s="1404"/>
      <c r="AA944" s="1408"/>
      <c r="AB944" s="1409"/>
      <c r="AC944" s="1409"/>
      <c r="AD944" s="1409"/>
      <c r="AE944" s="1409"/>
      <c r="AF944" s="1410"/>
      <c r="AZ944" s="34"/>
      <c r="BA944" s="34"/>
      <c r="BB944" s="34"/>
      <c r="BC944" s="34"/>
    </row>
    <row r="945" spans="1:55" ht="12.9"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 customHeight="1">
      <c r="F946" s="1601" t="s">
        <v>2192</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2.9" customHeight="1">
      <c r="F947" s="45" t="s">
        <v>86</v>
      </c>
      <c r="G947" s="48"/>
      <c r="H947" s="48"/>
      <c r="I947" s="1593" t="s">
        <v>334</v>
      </c>
      <c r="J947" s="1594"/>
      <c r="K947" s="1594"/>
      <c r="L947" s="1594"/>
      <c r="M947" s="1594"/>
      <c r="N947" s="1594"/>
      <c r="O947" s="1594"/>
      <c r="P947" s="1594"/>
      <c r="Q947" s="1594"/>
      <c r="R947" s="1594"/>
      <c r="S947" s="1594"/>
      <c r="T947" s="1595"/>
      <c r="U947" s="1402" t="s">
        <v>592</v>
      </c>
      <c r="V947" s="1403"/>
      <c r="W947" s="1403"/>
      <c r="X947" s="1403"/>
      <c r="Y947" s="1403"/>
      <c r="Z947" s="1404"/>
      <c r="AA947" s="1408"/>
      <c r="AB947" s="1409"/>
      <c r="AC947" s="1409"/>
      <c r="AD947" s="1409"/>
      <c r="AE947" s="1409"/>
      <c r="AF947" s="1410"/>
      <c r="AZ947" s="34"/>
      <c r="BA947" s="34"/>
      <c r="BB947" s="34"/>
      <c r="BC947" s="34"/>
    </row>
    <row r="948" spans="1:55" ht="12.9"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2.9"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4">
        <v>46023</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 customHeight="1">
      <c r="C956" s="66" t="s">
        <v>12</v>
      </c>
      <c r="D956" s="5"/>
      <c r="E956" s="5"/>
      <c r="F956" s="5"/>
      <c r="G956" s="5"/>
      <c r="H956" s="5"/>
      <c r="I956" s="5"/>
      <c r="J956" s="5"/>
      <c r="K956" s="5"/>
      <c r="L956" s="46"/>
      <c r="M956" s="1546" t="s">
        <v>2718</v>
      </c>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 customHeight="1">
      <c r="C957" s="66" t="s">
        <v>881</v>
      </c>
      <c r="D957" s="5"/>
      <c r="E957" s="5"/>
      <c r="J957" s="1553" t="s">
        <v>2719</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 customHeight="1">
      <c r="C959" s="66" t="s">
        <v>14</v>
      </c>
      <c r="D959" s="5"/>
      <c r="E959" s="5"/>
      <c r="F959" s="5"/>
      <c r="G959" s="5"/>
      <c r="H959" s="5"/>
      <c r="I959" s="5"/>
      <c r="J959" s="5"/>
      <c r="K959" s="5"/>
      <c r="L959" s="46"/>
      <c r="M959" s="1560">
        <v>96</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 customHeight="1">
      <c r="C960" s="66" t="s">
        <v>15</v>
      </c>
      <c r="D960" s="5"/>
      <c r="E960" s="5"/>
      <c r="F960" s="5"/>
      <c r="G960" s="5"/>
      <c r="H960" s="5"/>
      <c r="I960" s="5"/>
      <c r="J960" s="5"/>
      <c r="K960" s="5"/>
      <c r="L960" s="46"/>
      <c r="M960" s="1408">
        <v>2077620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 customHeight="1">
      <c r="C961" s="66" t="s">
        <v>16</v>
      </c>
      <c r="D961" s="5"/>
      <c r="E961" s="5"/>
      <c r="F961" s="5"/>
      <c r="G961" s="5"/>
      <c r="H961" s="5"/>
      <c r="I961" s="5"/>
      <c r="J961" s="5"/>
      <c r="K961" s="5"/>
      <c r="L961" s="46"/>
      <c r="M961" s="1408">
        <f>+M960*20</f>
        <v>41552400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 customHeight="1">
      <c r="C962" s="121" t="s">
        <v>1662</v>
      </c>
      <c r="D962" s="5"/>
      <c r="E962" s="5"/>
      <c r="F962" s="5"/>
      <c r="G962" s="5"/>
      <c r="H962" s="5"/>
      <c r="I962" s="5"/>
      <c r="J962" s="5"/>
      <c r="K962" s="5"/>
      <c r="L962" s="46"/>
      <c r="M962" s="1405">
        <v>20</v>
      </c>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553" t="s">
        <v>2719</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7" t="s">
        <v>546</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 customHeight="1">
      <c r="F975" s="1548"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 customHeight="1">
      <c r="A986" s="14"/>
      <c r="B986" s="73"/>
      <c r="C986" s="929"/>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86</v>
      </c>
      <c r="AC986" s="1391"/>
      <c r="AD986" s="1391"/>
      <c r="AE986" s="1391"/>
      <c r="AF986" s="1391"/>
      <c r="AG986" s="1391"/>
      <c r="AH986" s="1391"/>
      <c r="AI986" s="1392"/>
      <c r="AJ986" s="1489">
        <f>IF(ISERROR((R986*AB986)),0,(R986*AB986))</f>
        <v>37644522</v>
      </c>
      <c r="AK986" s="1490"/>
      <c r="AL986" s="1490"/>
      <c r="AM986" s="1490"/>
      <c r="AN986" s="1490"/>
      <c r="AO986" s="1490"/>
      <c r="AP986" s="1490"/>
      <c r="AQ986" s="1491"/>
      <c r="AR986" s="68"/>
      <c r="AS986" s="68"/>
      <c r="AT986" s="68"/>
      <c r="AU986" s="68"/>
      <c r="AV986" s="68"/>
      <c r="AW986" s="68"/>
      <c r="AX986" s="68"/>
      <c r="AY986" s="68"/>
      <c r="AZ986" s="30"/>
      <c r="BB986" s="14"/>
      <c r="BC986" s="14"/>
    </row>
    <row r="987" spans="1:64" ht="12.9"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10</v>
      </c>
      <c r="AC987" s="1391"/>
      <c r="AD987" s="1391"/>
      <c r="AE987" s="1391"/>
      <c r="AF987" s="1391"/>
      <c r="AG987" s="1391"/>
      <c r="AH987" s="1391"/>
      <c r="AI987" s="1392"/>
      <c r="AJ987" s="1489">
        <f>IF(ISERROR((R987*AB987)),0,(R987*AB987))</f>
        <v>5046950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0</v>
      </c>
      <c r="AC988" s="1391"/>
      <c r="AD988" s="1391"/>
      <c r="AE988" s="1391"/>
      <c r="AF988" s="1391"/>
      <c r="AG988" s="1391"/>
      <c r="AH988" s="1391"/>
      <c r="AI988" s="1392"/>
      <c r="AJ988" s="1489">
        <f>IF(ISERROR((R988*AB988)),0,(R988*AB988))</f>
        <v>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96</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42691472</v>
      </c>
      <c r="AK992" s="1490"/>
      <c r="AL992" s="1490"/>
      <c r="AM992" s="1490"/>
      <c r="AN992" s="1490"/>
      <c r="AO992" s="1490"/>
      <c r="AP992" s="1490"/>
      <c r="AQ992" s="1491"/>
      <c r="AR992" s="68"/>
      <c r="AS992" s="68"/>
      <c r="AT992" s="68"/>
      <c r="AU992" s="68"/>
      <c r="AV992" s="68"/>
      <c r="AW992" s="68"/>
      <c r="AX992" s="68"/>
      <c r="AY992" s="68"/>
      <c r="AZ992" s="34"/>
      <c r="BB992" s="34"/>
      <c r="BC992" s="34"/>
    </row>
    <row r="993" spans="1:55" ht="12.9"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92</v>
      </c>
      <c r="AZ1003" s="34"/>
      <c r="BB1003" s="34"/>
    </row>
    <row r="1004" spans="1:55" ht="12.9"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0.4</v>
      </c>
      <c r="AZ1005" s="34"/>
      <c r="BB1005" s="34"/>
    </row>
    <row r="1006" spans="1:55" ht="12.9"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0.14000000000000001</v>
      </c>
      <c r="AZ1006" s="34"/>
      <c r="BB1006" s="34"/>
    </row>
    <row r="1007" spans="1:55" ht="12.9"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2607</v>
      </c>
    </row>
    <row r="1013" spans="1:52" ht="12.9"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 customHeight="1">
      <c r="A1016" s="14"/>
      <c r="B1016" s="79"/>
      <c r="C1016" s="80" t="s">
        <v>218</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2606</v>
      </c>
      <c r="AY1024" s="201">
        <f>IF(SUM(AY1013:AY1023)&lt;=0.2,SUM(AY1013:AY1023),0.2)</f>
        <v>0</v>
      </c>
    </row>
    <row r="1025" spans="1:57" ht="12.9"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88000</v>
      </c>
      <c r="BB1038" s="1183" t="s">
        <v>2489</v>
      </c>
      <c r="BC1038" s="1183"/>
      <c r="BD1038" s="1183"/>
      <c r="BE1038" s="1183"/>
    </row>
    <row r="1039" spans="1:57" ht="12.9"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0.54347826086956519</v>
      </c>
      <c r="BB1039" s="3" t="s">
        <v>2493</v>
      </c>
    </row>
    <row r="1040" spans="1:57" ht="12.9"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1</v>
      </c>
      <c r="BB1040" s="3" t="s">
        <v>2490</v>
      </c>
    </row>
    <row r="1041" spans="1:56" ht="12.9"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2.9"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2.9"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 customHeight="1">
      <c r="A1045" s="14"/>
      <c r="B1045" s="79"/>
      <c r="C1045" s="131" t="s">
        <v>1685</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3">
        <f>IF((X1048=0),0,AY1005*AJ992)</f>
        <v>17076588.800000001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2638124.8000000003</v>
      </c>
      <c r="BA1046" s="1182">
        <f>IF(BA1040,20%,15%)</f>
        <v>0.2</v>
      </c>
      <c r="BB1046" s="3" t="s">
        <v>2479</v>
      </c>
      <c r="BC1046" s="3" t="s">
        <v>2480</v>
      </c>
      <c r="BD1046" s="3"/>
    </row>
    <row r="1047" spans="1:56" ht="12.9"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 customHeight="1">
      <c r="A1048" s="14"/>
      <c r="B1048" s="77"/>
      <c r="C1048" s="78"/>
      <c r="D1048" s="132" t="s">
        <v>973</v>
      </c>
      <c r="E1048" s="133"/>
      <c r="F1048" s="133"/>
      <c r="G1048" s="133"/>
      <c r="H1048" s="133"/>
      <c r="I1048" s="1570">
        <f>AY1003</f>
        <v>92</v>
      </c>
      <c r="J1048" s="1571"/>
      <c r="K1048" s="7"/>
      <c r="L1048" s="133"/>
      <c r="M1048" s="133"/>
      <c r="N1048" s="133"/>
      <c r="O1048" s="133"/>
      <c r="P1048" s="133"/>
      <c r="Q1048" s="133"/>
      <c r="R1048" s="133"/>
      <c r="S1048" s="133"/>
      <c r="T1048" s="133"/>
      <c r="U1048" s="133"/>
      <c r="V1048" s="134" t="s">
        <v>974</v>
      </c>
      <c r="W1048" s="48"/>
      <c r="X1048" s="1568">
        <f>CI753</f>
        <v>37</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915000</v>
      </c>
      <c r="BA1048" s="1182" cm="1">
        <f t="array" ref="BA1048">_xlfn.IFS(X180="Yes",5%,$BA$1038&gt;50000,15%,BA1039&gt;=30%,15%,TRUE,5%)</f>
        <v>0.05</v>
      </c>
      <c r="BB1048" s="3" t="s">
        <v>2479</v>
      </c>
      <c r="BC1048" s="3" t="s">
        <v>2482</v>
      </c>
      <c r="BD1048" s="3"/>
    </row>
    <row r="1049" spans="1:56" ht="12.9" customHeight="1">
      <c r="A1049" s="14"/>
      <c r="B1049" s="79"/>
      <c r="C1049" s="131" t="s">
        <v>1686</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3">
        <f>IF((X1052=0),0,(2*AY1006)*AJ992)</f>
        <v>11953612.160000002</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2.9"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3000000</v>
      </c>
      <c r="BA1051" s="3" t="s">
        <v>2484</v>
      </c>
      <c r="BB1051" s="3"/>
      <c r="BC1051" s="3"/>
      <c r="BD1051" s="3" cm="1">
        <f t="array" ref="BD1051">_xlfn.IFS(BA1040,3000000,AND(BA1041&gt;=25%,BA1042&gt;=15),2800000,TRUE,2500000)</f>
        <v>3000000</v>
      </c>
    </row>
    <row r="1052" spans="1:56" ht="12.9" customHeight="1">
      <c r="A1052" s="14"/>
      <c r="B1052" s="77"/>
      <c r="C1052" s="78"/>
      <c r="D1052" s="132" t="s">
        <v>973</v>
      </c>
      <c r="E1052" s="133"/>
      <c r="F1052" s="133"/>
      <c r="G1052" s="133"/>
      <c r="H1052" s="133"/>
      <c r="I1052" s="1570">
        <f>AY1003</f>
        <v>92</v>
      </c>
      <c r="J1052" s="1571"/>
      <c r="K1052" s="14"/>
      <c r="L1052" s="133"/>
      <c r="M1052" s="133"/>
      <c r="N1052" s="133"/>
      <c r="O1052" s="133"/>
      <c r="P1052" s="133"/>
      <c r="Q1052" s="133"/>
      <c r="R1052" s="133"/>
      <c r="S1052" s="133"/>
      <c r="T1052" s="133"/>
      <c r="U1052" s="133"/>
      <c r="V1052" s="134" t="s">
        <v>975</v>
      </c>
      <c r="X1052" s="1568">
        <f>CM753</f>
        <v>13</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71721672.959999993</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2487</v>
      </c>
      <c r="BC1055" s="3"/>
      <c r="BD1055" s="3"/>
    </row>
    <row r="1056" spans="1:56" ht="12.9"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35043749</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3553124.8000000003</v>
      </c>
      <c r="BB1056" s="3" t="s">
        <v>2488</v>
      </c>
      <c r="BC1056" s="3"/>
      <c r="BD1056" s="3"/>
    </row>
    <row r="1057" spans="1:54" ht="12.9"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0.80790430463489304</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3553125</v>
      </c>
      <c r="BB1058" s="3" t="s">
        <v>2494</v>
      </c>
    </row>
    <row r="1059" spans="1:54" ht="12.9"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553125</v>
      </c>
      <c r="BB1059" s="3" t="s">
        <v>2495</v>
      </c>
    </row>
    <row r="1060" spans="1:54" ht="12.9"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2.9"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zoomScale="85" zoomScaleNormal="85" workbookViewId="0">
      <selection activeCell="XFD79" sqref="XFD79"/>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63" t="s">
        <v>622</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2)NOI During Rehab</v>
      </c>
      <c r="H2" s="139" t="str">
        <f>Application!B629&amp;Application!C629</f>
        <v>3)Seller Carryback Loan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2900000</v>
      </c>
      <c r="C4" s="147">
        <v>2900000</v>
      </c>
      <c r="D4" s="147"/>
      <c r="E4" s="147"/>
      <c r="F4" s="147"/>
      <c r="G4" s="147"/>
      <c r="H4" s="147">
        <v>2900000</v>
      </c>
      <c r="I4" s="147"/>
      <c r="J4" s="147"/>
      <c r="K4" s="147"/>
      <c r="L4" s="147"/>
      <c r="M4" s="147"/>
      <c r="N4" s="147"/>
      <c r="O4" s="147"/>
      <c r="P4" s="147"/>
      <c r="Q4" s="147"/>
      <c r="R4" s="516">
        <f>SUM(E4:Q4)</f>
        <v>2900000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2900000</v>
      </c>
      <c r="C8" s="146">
        <f t="shared" ref="C8:Q8" si="0">SUM(C4:C7)</f>
        <v>2900000</v>
      </c>
      <c r="D8" s="146">
        <f t="shared" si="0"/>
        <v>0</v>
      </c>
      <c r="E8" s="146">
        <f t="shared" si="0"/>
        <v>0</v>
      </c>
      <c r="F8" s="146">
        <f t="shared" si="0"/>
        <v>0</v>
      </c>
      <c r="G8" s="146">
        <f t="shared" si="0"/>
        <v>0</v>
      </c>
      <c r="H8" s="146">
        <f t="shared" si="0"/>
        <v>2900000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2900000</v>
      </c>
      <c r="S8" s="148"/>
      <c r="T8" s="148"/>
      <c r="U8" s="143"/>
    </row>
    <row r="9" spans="1:21" s="144" customFormat="1">
      <c r="A9" s="145" t="s">
        <v>595</v>
      </c>
      <c r="B9" s="146">
        <f>SUM(C9+D9)</f>
        <v>18300000</v>
      </c>
      <c r="C9" s="147">
        <v>18300000</v>
      </c>
      <c r="D9" s="147"/>
      <c r="E9" s="147">
        <f>+C9-H9</f>
        <v>12700000</v>
      </c>
      <c r="F9" s="147"/>
      <c r="G9" s="147"/>
      <c r="H9" s="147">
        <v>5600000</v>
      </c>
      <c r="I9" s="147"/>
      <c r="J9" s="147"/>
      <c r="K9" s="147"/>
      <c r="L9" s="147"/>
      <c r="M9" s="147"/>
      <c r="N9" s="147"/>
      <c r="O9" s="147"/>
      <c r="P9" s="147"/>
      <c r="Q9" s="147"/>
      <c r="R9" s="516">
        <f>SUM(E9:Q9)</f>
        <v>18300000</v>
      </c>
      <c r="S9" s="148"/>
      <c r="T9" s="147">
        <v>18300000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18300000</v>
      </c>
      <c r="C11" s="146">
        <f t="shared" ref="C11:Q11" si="1">SUM(C9:C10)</f>
        <v>18300000</v>
      </c>
      <c r="D11" s="146">
        <f t="shared" si="1"/>
        <v>0</v>
      </c>
      <c r="E11" s="146">
        <f t="shared" si="1"/>
        <v>12700000</v>
      </c>
      <c r="F11" s="146">
        <f t="shared" si="1"/>
        <v>0</v>
      </c>
      <c r="G11" s="146">
        <f t="shared" si="1"/>
        <v>0</v>
      </c>
      <c r="H11" s="146">
        <f t="shared" si="1"/>
        <v>5600000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18300000</v>
      </c>
      <c r="S11" s="148"/>
      <c r="T11" s="150">
        <f>SUM(T9:T10)</f>
        <v>18300000</v>
      </c>
      <c r="U11" s="143"/>
    </row>
    <row r="12" spans="1:21" s="144" customFormat="1" ht="12">
      <c r="A12" s="149" t="s">
        <v>84</v>
      </c>
      <c r="B12" s="146">
        <f t="shared" ref="B12:Q12" si="2">SUM(B8+B11)</f>
        <v>21200000</v>
      </c>
      <c r="C12" s="146">
        <f t="shared" si="2"/>
        <v>21200000</v>
      </c>
      <c r="D12" s="146">
        <f t="shared" si="2"/>
        <v>0</v>
      </c>
      <c r="E12" s="146">
        <f t="shared" si="2"/>
        <v>12700000</v>
      </c>
      <c r="F12" s="146">
        <f t="shared" si="2"/>
        <v>0</v>
      </c>
      <c r="G12" s="146">
        <f t="shared" si="2"/>
        <v>0</v>
      </c>
      <c r="H12" s="146">
        <f t="shared" si="2"/>
        <v>8500000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21200000</v>
      </c>
      <c r="S12" s="148"/>
      <c r="T12" s="148"/>
      <c r="U12" s="143"/>
    </row>
    <row r="13" spans="1:21" s="144" customFormat="1">
      <c r="A13" s="287" t="s">
        <v>903</v>
      </c>
      <c r="B13" s="146">
        <f>SUM(C13+D13)</f>
        <v>27500</v>
      </c>
      <c r="C13" s="147">
        <v>27500</v>
      </c>
      <c r="D13" s="147"/>
      <c r="E13" s="147">
        <v>27500</v>
      </c>
      <c r="F13" s="147"/>
      <c r="G13" s="147"/>
      <c r="H13" s="147"/>
      <c r="I13" s="147"/>
      <c r="J13" s="147"/>
      <c r="K13" s="147"/>
      <c r="L13" s="147"/>
      <c r="M13" s="147"/>
      <c r="N13" s="147"/>
      <c r="O13" s="147"/>
      <c r="P13" s="147"/>
      <c r="Q13" s="147"/>
      <c r="R13" s="516">
        <f>SUM(E13:Q13)</f>
        <v>27500</v>
      </c>
      <c r="S13" s="147">
        <v>6875</v>
      </c>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8448000</v>
      </c>
      <c r="C18" s="147">
        <v>8448000</v>
      </c>
      <c r="D18" s="147"/>
      <c r="E18" s="147"/>
      <c r="F18" s="147">
        <v>8448000</v>
      </c>
      <c r="G18" s="147"/>
      <c r="H18" s="147"/>
      <c r="I18" s="147"/>
      <c r="J18" s="147"/>
      <c r="K18" s="147"/>
      <c r="L18" s="147"/>
      <c r="M18" s="147"/>
      <c r="N18" s="147"/>
      <c r="O18" s="147"/>
      <c r="P18" s="147"/>
      <c r="Q18" s="147"/>
      <c r="R18" s="516">
        <f>SUM(E18:Q18)</f>
        <v>8448000</v>
      </c>
      <c r="S18" s="147">
        <v>8448000</v>
      </c>
      <c r="T18" s="147"/>
      <c r="U18" s="143"/>
    </row>
    <row r="19" spans="1:21" s="144" customFormat="1">
      <c r="A19" s="145" t="s">
        <v>601</v>
      </c>
      <c r="B19" s="146">
        <f t="shared" si="3"/>
        <v>683612</v>
      </c>
      <c r="C19" s="147">
        <v>683612</v>
      </c>
      <c r="D19" s="147"/>
      <c r="E19" s="147"/>
      <c r="F19" s="147">
        <v>683612</v>
      </c>
      <c r="G19" s="147"/>
      <c r="H19" s="147"/>
      <c r="I19" s="147"/>
      <c r="J19" s="147"/>
      <c r="K19" s="147"/>
      <c r="L19" s="147"/>
      <c r="M19" s="147"/>
      <c r="N19" s="147"/>
      <c r="O19" s="147"/>
      <c r="P19" s="147"/>
      <c r="Q19" s="147"/>
      <c r="R19" s="516">
        <f>SUM(E19:Q19)</f>
        <v>683612</v>
      </c>
      <c r="S19" s="147">
        <v>683612</v>
      </c>
      <c r="T19" s="147"/>
      <c r="U19" s="143"/>
    </row>
    <row r="20" spans="1:21" s="144" customFormat="1">
      <c r="A20" s="145" t="s">
        <v>137</v>
      </c>
      <c r="B20" s="146">
        <f t="shared" si="3"/>
        <v>128177</v>
      </c>
      <c r="C20" s="147">
        <v>128177</v>
      </c>
      <c r="D20" s="147"/>
      <c r="E20" s="147"/>
      <c r="F20" s="147">
        <v>128177</v>
      </c>
      <c r="G20" s="147"/>
      <c r="H20" s="147"/>
      <c r="I20" s="147"/>
      <c r="J20" s="147"/>
      <c r="K20" s="147"/>
      <c r="L20" s="147"/>
      <c r="M20" s="147"/>
      <c r="N20" s="147"/>
      <c r="O20" s="147"/>
      <c r="P20" s="147"/>
      <c r="Q20" s="147"/>
      <c r="R20" s="516">
        <f t="shared" ref="R20:R27" si="4">SUM(E20:Q20)</f>
        <v>128177</v>
      </c>
      <c r="S20" s="147">
        <v>128177</v>
      </c>
      <c r="T20" s="147"/>
      <c r="U20" s="143"/>
    </row>
    <row r="21" spans="1:21" s="144" customFormat="1">
      <c r="A21" s="145" t="s">
        <v>138</v>
      </c>
      <c r="B21" s="146">
        <f t="shared" si="3"/>
        <v>384531</v>
      </c>
      <c r="C21" s="147">
        <v>384531</v>
      </c>
      <c r="D21" s="147"/>
      <c r="E21" s="147"/>
      <c r="F21" s="147">
        <v>384531</v>
      </c>
      <c r="G21" s="147"/>
      <c r="H21" s="147"/>
      <c r="I21" s="147"/>
      <c r="J21" s="147"/>
      <c r="K21" s="147"/>
      <c r="L21" s="147"/>
      <c r="M21" s="147"/>
      <c r="N21" s="147"/>
      <c r="O21" s="147"/>
      <c r="P21" s="147"/>
      <c r="Q21" s="147"/>
      <c r="R21" s="516">
        <f t="shared" si="4"/>
        <v>384531</v>
      </c>
      <c r="S21" s="147">
        <v>384531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97152</v>
      </c>
      <c r="C23" s="147">
        <v>97152</v>
      </c>
      <c r="D23" s="147"/>
      <c r="E23" s="147"/>
      <c r="F23" s="147">
        <v>97152</v>
      </c>
      <c r="G23" s="147"/>
      <c r="H23" s="147"/>
      <c r="I23" s="147"/>
      <c r="J23" s="147"/>
      <c r="K23" s="147"/>
      <c r="L23" s="147"/>
      <c r="M23" s="147"/>
      <c r="N23" s="147"/>
      <c r="O23" s="147"/>
      <c r="P23" s="147"/>
      <c r="Q23" s="147"/>
      <c r="R23" s="516">
        <f t="shared" si="4"/>
        <v>97152</v>
      </c>
      <c r="S23" s="147">
        <v>97152</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9741472</v>
      </c>
      <c r="C26" s="146">
        <f>SUM(C17:C25)</f>
        <v>9741472</v>
      </c>
      <c r="D26" s="146">
        <f t="shared" ref="D26:Q26" si="5">SUM(D17:D25)</f>
        <v>0</v>
      </c>
      <c r="E26" s="146">
        <f t="shared" si="5"/>
        <v>0</v>
      </c>
      <c r="F26" s="146">
        <f t="shared" si="5"/>
        <v>9741472</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9741472</v>
      </c>
      <c r="S26" s="150">
        <f>SUM(S17:S25)</f>
        <v>9741472</v>
      </c>
      <c r="T26" s="150">
        <f>SUM(T17:T25)</f>
        <v>0</v>
      </c>
      <c r="U26" s="143"/>
    </row>
    <row r="27" spans="1:21" s="144" customFormat="1" ht="12">
      <c r="A27" s="149" t="s">
        <v>141</v>
      </c>
      <c r="B27" s="146">
        <f>SUM(C27:D27)</f>
        <v>250000</v>
      </c>
      <c r="C27" s="147">
        <v>250000</v>
      </c>
      <c r="D27" s="147"/>
      <c r="E27" s="147"/>
      <c r="F27" s="147">
        <v>250000</v>
      </c>
      <c r="G27" s="147"/>
      <c r="H27" s="147"/>
      <c r="I27" s="147"/>
      <c r="J27" s="147"/>
      <c r="K27" s="147"/>
      <c r="L27" s="147"/>
      <c r="M27" s="147"/>
      <c r="N27" s="147"/>
      <c r="O27" s="147"/>
      <c r="P27" s="147"/>
      <c r="Q27" s="147"/>
      <c r="R27" s="516">
        <f t="shared" si="4"/>
        <v>250000</v>
      </c>
      <c r="S27" s="147">
        <v>250000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389659</v>
      </c>
      <c r="C40" s="147">
        <v>389659</v>
      </c>
      <c r="D40" s="147"/>
      <c r="E40" s="147"/>
      <c r="F40" s="147">
        <v>389659</v>
      </c>
      <c r="G40" s="147"/>
      <c r="H40" s="147"/>
      <c r="I40" s="147"/>
      <c r="J40" s="147"/>
      <c r="K40" s="147"/>
      <c r="L40" s="147"/>
      <c r="M40" s="147"/>
      <c r="N40" s="147"/>
      <c r="O40" s="147"/>
      <c r="P40" s="147"/>
      <c r="Q40" s="147"/>
      <c r="R40" s="516">
        <f>SUM(E40:Q40)</f>
        <v>389659</v>
      </c>
      <c r="S40" s="147">
        <v>389659</v>
      </c>
      <c r="T40" s="147"/>
      <c r="U40" s="143"/>
    </row>
    <row r="41" spans="1:21" s="144" customFormat="1">
      <c r="A41" s="145" t="s">
        <v>146</v>
      </c>
      <c r="B41" s="146">
        <f>SUM(C41+D41)</f>
        <v>48707</v>
      </c>
      <c r="C41" s="147">
        <v>48707</v>
      </c>
      <c r="D41" s="147"/>
      <c r="E41" s="147"/>
      <c r="F41" s="147">
        <v>48707</v>
      </c>
      <c r="G41" s="147"/>
      <c r="H41" s="147"/>
      <c r="I41" s="147"/>
      <c r="J41" s="147"/>
      <c r="K41" s="147"/>
      <c r="L41" s="147"/>
      <c r="M41" s="147"/>
      <c r="N41" s="147"/>
      <c r="O41" s="147"/>
      <c r="P41" s="147"/>
      <c r="Q41" s="147"/>
      <c r="R41" s="516">
        <f>SUM(E41:Q41)</f>
        <v>48707</v>
      </c>
      <c r="S41" s="147">
        <v>48707</v>
      </c>
      <c r="T41" s="147"/>
      <c r="U41" s="143"/>
    </row>
    <row r="42" spans="1:21" s="144" customFormat="1" ht="12">
      <c r="A42" s="149" t="s">
        <v>147</v>
      </c>
      <c r="B42" s="146">
        <f>SUM(C42:D42)</f>
        <v>438366</v>
      </c>
      <c r="C42" s="146">
        <f>SUM(C39:C41)</f>
        <v>438366</v>
      </c>
      <c r="D42" s="146">
        <f>SUM(D39:D41)</f>
        <v>0</v>
      </c>
      <c r="E42" s="146">
        <f t="shared" ref="E42:T42" si="9">SUM(E40:E41)</f>
        <v>0</v>
      </c>
      <c r="F42" s="146">
        <f t="shared" si="9"/>
        <v>438366</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438366</v>
      </c>
      <c r="S42" s="150">
        <f t="shared" si="9"/>
        <v>438366</v>
      </c>
      <c r="T42" s="150">
        <f t="shared" si="9"/>
        <v>0</v>
      </c>
      <c r="U42" s="143"/>
    </row>
    <row r="43" spans="1:21" s="144" customFormat="1" ht="12">
      <c r="A43" s="149" t="s">
        <v>148</v>
      </c>
      <c r="B43" s="146">
        <f>SUM(C43:D43)</f>
        <v>40000</v>
      </c>
      <c r="C43" s="147">
        <v>40000</v>
      </c>
      <c r="D43" s="147"/>
      <c r="E43" s="147"/>
      <c r="F43" s="147">
        <v>40000</v>
      </c>
      <c r="G43" s="147"/>
      <c r="H43" s="147"/>
      <c r="I43" s="147"/>
      <c r="J43" s="147"/>
      <c r="K43" s="147"/>
      <c r="L43" s="147"/>
      <c r="M43" s="147"/>
      <c r="N43" s="147"/>
      <c r="O43" s="147"/>
      <c r="P43" s="147"/>
      <c r="Q43" s="147"/>
      <c r="R43" s="516">
        <f>SUM(E43:Q43)</f>
        <v>40000</v>
      </c>
      <c r="S43" s="147">
        <v>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2346893</v>
      </c>
      <c r="C45" s="147">
        <f>1261839+235053+849999+2</f>
        <v>2346893</v>
      </c>
      <c r="D45" s="147"/>
      <c r="E45" s="147"/>
      <c r="F45" s="147">
        <f>+C45-G45</f>
        <v>846893</v>
      </c>
      <c r="G45" s="147">
        <v>1500000</v>
      </c>
      <c r="H45" s="147"/>
      <c r="I45" s="147"/>
      <c r="J45" s="147"/>
      <c r="K45" s="147"/>
      <c r="L45" s="147"/>
      <c r="M45" s="147"/>
      <c r="N45" s="147"/>
      <c r="O45" s="147"/>
      <c r="P45" s="147"/>
      <c r="Q45" s="147"/>
      <c r="R45" s="516">
        <f t="shared" ref="R45:R53" si="11">SUM(E45:Q45)</f>
        <v>2346893</v>
      </c>
      <c r="S45" s="147">
        <v>598347</v>
      </c>
      <c r="T45" s="147"/>
      <c r="U45" s="143"/>
    </row>
    <row r="46" spans="1:21" s="144" customFormat="1">
      <c r="A46" s="145" t="s">
        <v>151</v>
      </c>
      <c r="B46" s="146">
        <f t="shared" si="10"/>
        <v>665071</v>
      </c>
      <c r="C46" s="147">
        <f>405195+146188+65688+48000</f>
        <v>665071</v>
      </c>
      <c r="D46" s="147"/>
      <c r="E46" s="147"/>
      <c r="F46" s="147">
        <v>665071</v>
      </c>
      <c r="G46" s="147"/>
      <c r="H46" s="147"/>
      <c r="I46" s="147"/>
      <c r="J46" s="147"/>
      <c r="K46" s="147"/>
      <c r="L46" s="147"/>
      <c r="M46" s="147"/>
      <c r="N46" s="147"/>
      <c r="O46" s="147"/>
      <c r="P46" s="147"/>
      <c r="Q46" s="147"/>
      <c r="R46" s="516">
        <f t="shared" si="11"/>
        <v>665071</v>
      </c>
      <c r="S46" s="147">
        <v>48000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131510</v>
      </c>
      <c r="C48" s="147">
        <v>131510</v>
      </c>
      <c r="D48" s="147"/>
      <c r="E48" s="147"/>
      <c r="F48" s="147">
        <v>131510</v>
      </c>
      <c r="G48" s="147"/>
      <c r="H48" s="147"/>
      <c r="I48" s="147"/>
      <c r="J48" s="147"/>
      <c r="K48" s="147"/>
      <c r="L48" s="147"/>
      <c r="M48" s="147"/>
      <c r="N48" s="147"/>
      <c r="O48" s="147"/>
      <c r="P48" s="147"/>
      <c r="Q48" s="147"/>
      <c r="R48" s="516">
        <f t="shared" si="11"/>
        <v>131510</v>
      </c>
      <c r="S48" s="147">
        <v>131510</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82081</v>
      </c>
      <c r="C50" s="147">
        <v>82081</v>
      </c>
      <c r="D50" s="147"/>
      <c r="E50" s="147"/>
      <c r="F50" s="147">
        <v>82081</v>
      </c>
      <c r="G50" s="147"/>
      <c r="H50" s="147"/>
      <c r="I50" s="147"/>
      <c r="J50" s="147"/>
      <c r="K50" s="147"/>
      <c r="L50" s="147"/>
      <c r="M50" s="147"/>
      <c r="N50" s="147"/>
      <c r="O50" s="147"/>
      <c r="P50" s="147"/>
      <c r="Q50" s="147"/>
      <c r="R50" s="516">
        <f t="shared" si="11"/>
        <v>82081</v>
      </c>
      <c r="S50" s="147">
        <v>82081</v>
      </c>
      <c r="T50" s="147"/>
      <c r="U50" s="143"/>
    </row>
    <row r="51" spans="1:21" s="144" customFormat="1">
      <c r="A51" s="283" t="s">
        <v>154</v>
      </c>
      <c r="B51" s="146">
        <f t="shared" si="10"/>
        <v>17500</v>
      </c>
      <c r="C51" s="147">
        <v>17500</v>
      </c>
      <c r="D51" s="147"/>
      <c r="E51" s="147"/>
      <c r="F51" s="147">
        <v>17500</v>
      </c>
      <c r="G51" s="147"/>
      <c r="H51" s="147"/>
      <c r="I51" s="147"/>
      <c r="J51" s="147"/>
      <c r="K51" s="147"/>
      <c r="L51" s="147"/>
      <c r="M51" s="147"/>
      <c r="N51" s="147"/>
      <c r="O51" s="147"/>
      <c r="P51" s="147"/>
      <c r="Q51" s="147"/>
      <c r="R51" s="516">
        <f t="shared" si="11"/>
        <v>17500</v>
      </c>
      <c r="S51" s="147">
        <v>8750</v>
      </c>
      <c r="T51" s="147"/>
      <c r="U51" s="143"/>
    </row>
    <row r="52" spans="1:21" s="144" customFormat="1">
      <c r="A52" s="145" t="s">
        <v>155</v>
      </c>
      <c r="B52" s="146">
        <f t="shared" si="10"/>
        <v>200000</v>
      </c>
      <c r="C52" s="147">
        <v>200000</v>
      </c>
      <c r="D52" s="147"/>
      <c r="E52" s="147"/>
      <c r="F52" s="147">
        <v>200000</v>
      </c>
      <c r="G52" s="147"/>
      <c r="H52" s="147"/>
      <c r="I52" s="147"/>
      <c r="J52" s="147"/>
      <c r="K52" s="147"/>
      <c r="L52" s="147"/>
      <c r="M52" s="147"/>
      <c r="N52" s="147"/>
      <c r="O52" s="147"/>
      <c r="P52" s="147"/>
      <c r="Q52" s="147"/>
      <c r="R52" s="516">
        <f t="shared" si="11"/>
        <v>200000</v>
      </c>
      <c r="S52" s="147">
        <v>133468</v>
      </c>
      <c r="T52" s="147"/>
      <c r="U52" s="143"/>
    </row>
    <row r="53" spans="1:21" s="144" customFormat="1">
      <c r="A53" s="1149" t="s">
        <v>2723</v>
      </c>
      <c r="B53" s="146">
        <f t="shared" si="10"/>
        <v>115250</v>
      </c>
      <c r="C53" s="147">
        <v>115250</v>
      </c>
      <c r="D53" s="147"/>
      <c r="E53" s="147"/>
      <c r="F53" s="147">
        <v>115250</v>
      </c>
      <c r="G53" s="147"/>
      <c r="H53" s="147"/>
      <c r="I53" s="147"/>
      <c r="J53" s="147"/>
      <c r="K53" s="147"/>
      <c r="L53" s="147"/>
      <c r="M53" s="147"/>
      <c r="N53" s="147"/>
      <c r="O53" s="147"/>
      <c r="P53" s="147"/>
      <c r="Q53" s="147"/>
      <c r="R53" s="516">
        <f t="shared" si="11"/>
        <v>115250</v>
      </c>
      <c r="S53" s="147">
        <v>115250</v>
      </c>
      <c r="T53" s="147"/>
      <c r="U53" s="143"/>
    </row>
    <row r="54" spans="1:21" s="153" customFormat="1" ht="12">
      <c r="A54" s="149" t="s">
        <v>157</v>
      </c>
      <c r="B54" s="150">
        <f>SUM(C54:D54)</f>
        <v>3558305</v>
      </c>
      <c r="C54" s="150">
        <f t="shared" ref="C54:T54" si="12">SUM(C45:C53)</f>
        <v>3558305</v>
      </c>
      <c r="D54" s="150">
        <f t="shared" si="12"/>
        <v>0</v>
      </c>
      <c r="E54" s="150">
        <f t="shared" si="12"/>
        <v>0</v>
      </c>
      <c r="F54" s="150">
        <f t="shared" si="12"/>
        <v>2058305</v>
      </c>
      <c r="G54" s="150">
        <f t="shared" si="12"/>
        <v>1500000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3558305</v>
      </c>
      <c r="S54" s="150">
        <f t="shared" si="12"/>
        <v>1117406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62160</v>
      </c>
      <c r="C58" s="147">
        <f>90000-27840</f>
        <v>62160</v>
      </c>
      <c r="D58" s="147"/>
      <c r="E58" s="147"/>
      <c r="F58" s="147">
        <v>62160</v>
      </c>
      <c r="G58" s="147"/>
      <c r="H58" s="147"/>
      <c r="I58" s="147"/>
      <c r="J58" s="147"/>
      <c r="K58" s="147"/>
      <c r="L58" s="147"/>
      <c r="M58" s="147"/>
      <c r="N58" s="147"/>
      <c r="O58" s="147"/>
      <c r="P58" s="147"/>
      <c r="Q58" s="147"/>
      <c r="R58" s="516">
        <f t="shared" si="14"/>
        <v>62160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301</v>
      </c>
      <c r="B62" s="146">
        <f>SUM(C62:D62)</f>
        <v>62160</v>
      </c>
      <c r="C62" s="146">
        <f t="shared" ref="C62:R62" si="15">SUM(C56:C61)</f>
        <v>62160</v>
      </c>
      <c r="D62" s="146">
        <f t="shared" si="15"/>
        <v>0</v>
      </c>
      <c r="E62" s="146">
        <f t="shared" si="15"/>
        <v>0</v>
      </c>
      <c r="F62" s="146">
        <f t="shared" si="15"/>
        <v>62160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62160</v>
      </c>
      <c r="S62" s="148"/>
      <c r="T62" s="148"/>
      <c r="U62" s="143"/>
    </row>
    <row r="63" spans="1:21" s="144" customFormat="1">
      <c r="A63" s="154" t="s">
        <v>302</v>
      </c>
      <c r="B63" s="146">
        <f t="shared" ref="B63:R63" si="16">SUM(B8+B11+B13+B14+B15+B26+B27+B38+B42+B43+B54+B62)</f>
        <v>35317803</v>
      </c>
      <c r="C63" s="146">
        <f t="shared" si="16"/>
        <v>35317803</v>
      </c>
      <c r="D63" s="146">
        <f t="shared" si="16"/>
        <v>0</v>
      </c>
      <c r="E63" s="146">
        <f t="shared" si="16"/>
        <v>12727500</v>
      </c>
      <c r="F63" s="146">
        <f t="shared" si="16"/>
        <v>12590303</v>
      </c>
      <c r="G63" s="146">
        <f t="shared" si="16"/>
        <v>1500000</v>
      </c>
      <c r="H63" s="146">
        <f t="shared" si="16"/>
        <v>8500000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35317803</v>
      </c>
      <c r="S63" s="146">
        <f>SUM(S10+S13+S14+S15+S26+S27+S38+S42+S43+S54)</f>
        <v>11594119</v>
      </c>
      <c r="T63" s="146">
        <f>SUM(T11+T13+T14+T15+T26+T27+T38+T42+T43+T54)</f>
        <v>18300000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230000</v>
      </c>
      <c r="C65" s="147">
        <v>230000</v>
      </c>
      <c r="D65" s="147"/>
      <c r="E65" s="147"/>
      <c r="F65" s="147">
        <v>230000</v>
      </c>
      <c r="G65" s="147"/>
      <c r="H65" s="147"/>
      <c r="I65" s="147"/>
      <c r="J65" s="147"/>
      <c r="K65" s="147"/>
      <c r="L65" s="147"/>
      <c r="M65" s="147"/>
      <c r="N65" s="147"/>
      <c r="O65" s="147"/>
      <c r="P65" s="147"/>
      <c r="Q65" s="147"/>
      <c r="R65" s="516">
        <f>SUM(E65:Q65)</f>
        <v>230000</v>
      </c>
      <c r="S65" s="147">
        <v>77500</v>
      </c>
      <c r="T65" s="147"/>
      <c r="U65" s="143"/>
    </row>
    <row r="66" spans="1:21" s="144" customFormat="1" ht="24" customHeight="1">
      <c r="A66" s="283" t="s">
        <v>1642</v>
      </c>
      <c r="B66" s="146">
        <f>SUM(C66+D66)</f>
        <v>0</v>
      </c>
      <c r="C66" s="147">
        <v>0</v>
      </c>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v>0</v>
      </c>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v>0</v>
      </c>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v>0</v>
      </c>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1646</v>
      </c>
      <c r="B70" s="146">
        <f>SUM(C70:D70)</f>
        <v>230000</v>
      </c>
      <c r="C70" s="146">
        <f>SUM(C65:C69)</f>
        <v>230000</v>
      </c>
      <c r="D70" s="146">
        <f>SUM(D65:D69)</f>
        <v>0</v>
      </c>
      <c r="E70" s="146">
        <f t="shared" ref="E70:T70" si="17">SUM(E65:E69)</f>
        <v>0</v>
      </c>
      <c r="F70" s="146">
        <f t="shared" si="17"/>
        <v>230000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230000</v>
      </c>
      <c r="S70" s="150">
        <f t="shared" si="17"/>
        <v>77500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458000</v>
      </c>
      <c r="C75" s="147">
        <v>458000</v>
      </c>
      <c r="D75" s="147"/>
      <c r="E75" s="147"/>
      <c r="F75" s="147">
        <v>458000</v>
      </c>
      <c r="G75" s="147"/>
      <c r="H75" s="147"/>
      <c r="I75" s="147"/>
      <c r="J75" s="147"/>
      <c r="K75" s="147"/>
      <c r="L75" s="147"/>
      <c r="M75" s="147"/>
      <c r="N75" s="147"/>
      <c r="O75" s="147"/>
      <c r="P75" s="147"/>
      <c r="Q75" s="147"/>
      <c r="R75" s="516">
        <f>SUM(E75:Q75)</f>
        <v>458000</v>
      </c>
      <c r="S75" s="148"/>
      <c r="T75" s="148"/>
      <c r="U75" s="143"/>
    </row>
    <row r="76" spans="1:21" s="144" customFormat="1">
      <c r="A76" s="1149" t="s">
        <v>2733</v>
      </c>
      <c r="B76" s="146">
        <f>SUM(C76+D76)</f>
        <v>442000</v>
      </c>
      <c r="C76" s="147">
        <v>442000</v>
      </c>
      <c r="D76" s="147"/>
      <c r="E76" s="147"/>
      <c r="F76" s="147">
        <v>442000</v>
      </c>
      <c r="G76" s="147"/>
      <c r="H76" s="147"/>
      <c r="I76" s="147"/>
      <c r="J76" s="147"/>
      <c r="K76" s="147"/>
      <c r="L76" s="147"/>
      <c r="M76" s="147"/>
      <c r="N76" s="147"/>
      <c r="O76" s="147"/>
      <c r="P76" s="147"/>
      <c r="Q76" s="147"/>
      <c r="R76" s="516">
        <f>SUM(E76:Q76)</f>
        <v>442000</v>
      </c>
      <c r="S76" s="148"/>
      <c r="T76" s="148"/>
      <c r="U76" s="143"/>
    </row>
    <row r="77" spans="1:21" s="144" customFormat="1" ht="12">
      <c r="A77" s="149" t="s">
        <v>607</v>
      </c>
      <c r="B77" s="146">
        <f>SUM(C77:D77)</f>
        <v>900000</v>
      </c>
      <c r="C77" s="146">
        <f>SUM(C72:C76)</f>
        <v>900000</v>
      </c>
      <c r="D77" s="146">
        <f>SUM(D72:D76)</f>
        <v>0</v>
      </c>
      <c r="E77" s="146">
        <f t="shared" ref="E77:Q77" si="18">SUM(E72:E76)</f>
        <v>0</v>
      </c>
      <c r="F77" s="146">
        <f t="shared" si="18"/>
        <v>900000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900000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974147</v>
      </c>
      <c r="C79" s="147">
        <v>974147</v>
      </c>
      <c r="D79" s="147"/>
      <c r="E79" s="147">
        <f>+C79-F79</f>
        <v>651817</v>
      </c>
      <c r="F79" s="147">
        <f>16000000-15677670</f>
        <v>322330</v>
      </c>
      <c r="G79" s="147"/>
      <c r="H79" s="147"/>
      <c r="I79" s="147"/>
      <c r="J79" s="147"/>
      <c r="K79" s="147"/>
      <c r="L79" s="147"/>
      <c r="M79" s="147"/>
      <c r="N79" s="147"/>
      <c r="O79" s="147"/>
      <c r="P79" s="147"/>
      <c r="Q79" s="147"/>
      <c r="R79" s="516">
        <f>SUM(E79:Q79)</f>
        <v>974147</v>
      </c>
      <c r="S79" s="147">
        <v>974147</v>
      </c>
      <c r="T79" s="147"/>
      <c r="U79" s="143"/>
    </row>
    <row r="80" spans="1:21" s="144" customFormat="1">
      <c r="A80" s="283" t="s">
        <v>58</v>
      </c>
      <c r="B80" s="146">
        <f>SUM(C80:D80)</f>
        <v>44858</v>
      </c>
      <c r="C80" s="147">
        <v>44858</v>
      </c>
      <c r="D80" s="147"/>
      <c r="E80" s="147">
        <v>44858</v>
      </c>
      <c r="F80" s="147"/>
      <c r="G80" s="147"/>
      <c r="H80" s="147"/>
      <c r="I80" s="147"/>
      <c r="J80" s="147"/>
      <c r="K80" s="147"/>
      <c r="L80" s="147"/>
      <c r="M80" s="147"/>
      <c r="N80" s="147"/>
      <c r="O80" s="147"/>
      <c r="P80" s="147"/>
      <c r="Q80" s="147"/>
      <c r="R80" s="516">
        <f>SUM(E80:Q80)</f>
        <v>44858</v>
      </c>
      <c r="S80" s="147">
        <v>44858</v>
      </c>
      <c r="T80" s="147"/>
      <c r="U80" s="143"/>
    </row>
    <row r="81" spans="1:21" s="144" customFormat="1" ht="12">
      <c r="A81" s="149" t="s">
        <v>1210</v>
      </c>
      <c r="B81" s="146">
        <f>SUM(C81:D81)</f>
        <v>1019005</v>
      </c>
      <c r="C81" s="509">
        <f>SUM(C79:C80)</f>
        <v>1019005</v>
      </c>
      <c r="D81" s="509">
        <f t="shared" ref="D81:T81" si="19">SUM(D79:D80)</f>
        <v>0</v>
      </c>
      <c r="E81" s="509">
        <f t="shared" si="19"/>
        <v>696675</v>
      </c>
      <c r="F81" s="509">
        <f t="shared" si="19"/>
        <v>322330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1019005</v>
      </c>
      <c r="S81" s="509">
        <f t="shared" si="19"/>
        <v>1019005</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0">SUM(C83+D83)</f>
        <v>88879</v>
      </c>
      <c r="C83" s="147">
        <v>88879</v>
      </c>
      <c r="D83" s="147"/>
      <c r="E83" s="147">
        <v>88879</v>
      </c>
      <c r="F83" s="147"/>
      <c r="G83" s="147"/>
      <c r="H83" s="147"/>
      <c r="I83" s="147"/>
      <c r="J83" s="147"/>
      <c r="K83" s="147"/>
      <c r="L83" s="147"/>
      <c r="M83" s="147"/>
      <c r="N83" s="147"/>
      <c r="O83" s="147"/>
      <c r="P83" s="147"/>
      <c r="Q83" s="147"/>
      <c r="R83" s="516">
        <f t="shared" ref="R83:R95" si="21">SUM(E83:Q83)</f>
        <v>88879</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100000</v>
      </c>
      <c r="C86" s="147">
        <v>100000</v>
      </c>
      <c r="D86" s="147"/>
      <c r="E86" s="147"/>
      <c r="F86" s="147">
        <v>100000</v>
      </c>
      <c r="G86" s="147"/>
      <c r="H86" s="147"/>
      <c r="I86" s="147"/>
      <c r="J86" s="147"/>
      <c r="K86" s="147"/>
      <c r="L86" s="147"/>
      <c r="M86" s="147"/>
      <c r="N86" s="147"/>
      <c r="O86" s="147"/>
      <c r="P86" s="147"/>
      <c r="Q86" s="147"/>
      <c r="R86" s="516">
        <f t="shared" si="21"/>
        <v>100000</v>
      </c>
      <c r="S86" s="147">
        <v>100000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773</v>
      </c>
      <c r="B89" s="146">
        <f t="shared" si="20"/>
        <v>350000</v>
      </c>
      <c r="C89" s="147">
        <v>350000</v>
      </c>
      <c r="D89" s="147"/>
      <c r="E89" s="147"/>
      <c r="F89" s="147">
        <v>350000</v>
      </c>
      <c r="G89" s="147"/>
      <c r="H89" s="147"/>
      <c r="I89" s="147"/>
      <c r="J89" s="147"/>
      <c r="K89" s="147"/>
      <c r="L89" s="147"/>
      <c r="M89" s="147"/>
      <c r="N89" s="147"/>
      <c r="O89" s="147"/>
      <c r="P89" s="147"/>
      <c r="Q89" s="147"/>
      <c r="R89" s="516">
        <f t="shared" si="21"/>
        <v>350000</v>
      </c>
      <c r="S89" s="147">
        <v>350000</v>
      </c>
      <c r="T89" s="147"/>
      <c r="U89" s="143"/>
    </row>
    <row r="90" spans="1:21" s="144" customFormat="1">
      <c r="A90" s="145" t="s">
        <v>774</v>
      </c>
      <c r="B90" s="146">
        <f t="shared" si="20"/>
        <v>20000</v>
      </c>
      <c r="C90" s="147">
        <v>20000</v>
      </c>
      <c r="D90" s="147"/>
      <c r="E90" s="147"/>
      <c r="F90" s="147">
        <v>20000</v>
      </c>
      <c r="G90" s="147"/>
      <c r="H90" s="147"/>
      <c r="I90" s="147"/>
      <c r="J90" s="147"/>
      <c r="K90" s="147"/>
      <c r="L90" s="147"/>
      <c r="M90" s="147"/>
      <c r="N90" s="147"/>
      <c r="O90" s="147"/>
      <c r="P90" s="147"/>
      <c r="Q90" s="147"/>
      <c r="R90" s="516">
        <f t="shared" si="21"/>
        <v>20000</v>
      </c>
      <c r="S90" s="147">
        <v>20000</v>
      </c>
      <c r="T90" s="147"/>
      <c r="U90" s="143"/>
    </row>
    <row r="91" spans="1:21" s="144" customFormat="1">
      <c r="A91" s="145" t="s">
        <v>372</v>
      </c>
      <c r="B91" s="146">
        <f t="shared" si="20"/>
        <v>15000</v>
      </c>
      <c r="C91" s="147">
        <v>15000</v>
      </c>
      <c r="D91" s="147"/>
      <c r="E91" s="147"/>
      <c r="F91" s="147">
        <v>15000</v>
      </c>
      <c r="G91" s="147"/>
      <c r="H91" s="147"/>
      <c r="I91" s="147"/>
      <c r="J91" s="147"/>
      <c r="K91" s="147"/>
      <c r="L91" s="147"/>
      <c r="M91" s="147"/>
      <c r="N91" s="147"/>
      <c r="O91" s="147"/>
      <c r="P91" s="147"/>
      <c r="Q91" s="147"/>
      <c r="R91" s="516">
        <f t="shared" si="21"/>
        <v>15000</v>
      </c>
      <c r="S91" s="147">
        <v>15000</v>
      </c>
      <c r="T91" s="147"/>
      <c r="U91" s="143"/>
    </row>
    <row r="92" spans="1:21" s="144" customFormat="1">
      <c r="A92" s="283" t="s">
        <v>1212</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9" t="s">
        <v>2724</v>
      </c>
      <c r="B93" s="146">
        <f t="shared" si="20"/>
        <v>15000</v>
      </c>
      <c r="C93" s="147">
        <v>15000</v>
      </c>
      <c r="D93" s="147"/>
      <c r="E93" s="147">
        <v>15000</v>
      </c>
      <c r="F93" s="147"/>
      <c r="G93" s="147"/>
      <c r="H93" s="147"/>
      <c r="I93" s="147"/>
      <c r="J93" s="147"/>
      <c r="K93" s="147"/>
      <c r="L93" s="147"/>
      <c r="M93" s="147"/>
      <c r="N93" s="147"/>
      <c r="O93" s="147"/>
      <c r="P93" s="147"/>
      <c r="Q93" s="147"/>
      <c r="R93" s="516">
        <f t="shared" si="21"/>
        <v>15000</v>
      </c>
      <c r="S93" s="147">
        <v>15000</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775</v>
      </c>
      <c r="B96" s="146">
        <f>SUM(C96:D96)</f>
        <v>588879</v>
      </c>
      <c r="C96" s="146">
        <f t="shared" ref="C96:R96" si="22">SUM(C83:C95)</f>
        <v>588879</v>
      </c>
      <c r="D96" s="146">
        <f t="shared" si="22"/>
        <v>0</v>
      </c>
      <c r="E96" s="146">
        <f t="shared" si="22"/>
        <v>103879</v>
      </c>
      <c r="F96" s="146">
        <f t="shared" si="22"/>
        <v>485000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588879</v>
      </c>
      <c r="S96" s="150">
        <f>SUM(S84:S87,S89:S95)</f>
        <v>500000</v>
      </c>
      <c r="T96" s="146">
        <f>SUM(T84:T87,T89:T95)</f>
        <v>0</v>
      </c>
      <c r="U96" s="143"/>
    </row>
    <row r="97" spans="1:21" s="144" customFormat="1" ht="12">
      <c r="A97" s="149" t="s">
        <v>776</v>
      </c>
      <c r="B97" s="146">
        <f>SUM(C97:D97)</f>
        <v>38055687</v>
      </c>
      <c r="C97" s="146">
        <f t="shared" ref="C97:R97" si="23">SUM(C63+C70+C77+C81+C96)</f>
        <v>38055687</v>
      </c>
      <c r="D97" s="146">
        <f t="shared" si="23"/>
        <v>0</v>
      </c>
      <c r="E97" s="146">
        <f t="shared" si="23"/>
        <v>13528054</v>
      </c>
      <c r="F97" s="146">
        <f t="shared" si="23"/>
        <v>14527633</v>
      </c>
      <c r="G97" s="146">
        <f t="shared" si="23"/>
        <v>1500000</v>
      </c>
      <c r="H97" s="146">
        <f t="shared" si="23"/>
        <v>8500000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38055687</v>
      </c>
      <c r="S97" s="146">
        <f>SUM(S63+S70+S81+S96)</f>
        <v>13190624</v>
      </c>
      <c r="T97" s="146">
        <f>SUM(T63+T70+T81+T96)</f>
        <v>18300000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3553125</v>
      </c>
      <c r="C99" s="979">
        <v>3553125</v>
      </c>
      <c r="D99" s="979"/>
      <c r="E99" s="979"/>
      <c r="F99" s="147">
        <f>+C99-I99</f>
        <v>1472367</v>
      </c>
      <c r="G99" s="147"/>
      <c r="H99" s="147"/>
      <c r="I99" s="147">
        <v>2080758</v>
      </c>
      <c r="J99" s="147"/>
      <c r="K99" s="147"/>
      <c r="L99" s="147"/>
      <c r="M99" s="147"/>
      <c r="N99" s="147"/>
      <c r="O99" s="147"/>
      <c r="P99" s="147"/>
      <c r="Q99" s="147"/>
      <c r="R99" s="516">
        <f>SUM(E99:Q99)</f>
        <v>3553125</v>
      </c>
      <c r="S99" s="147">
        <v>2638125</v>
      </c>
      <c r="T99" s="147">
        <v>915000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3553125</v>
      </c>
      <c r="C104" s="146">
        <f>SUM(C99:C103)</f>
        <v>3553125</v>
      </c>
      <c r="D104" s="146">
        <f t="shared" ref="D104:T104" si="24">SUM(D99:D103)</f>
        <v>0</v>
      </c>
      <c r="E104" s="146">
        <f t="shared" si="24"/>
        <v>0</v>
      </c>
      <c r="F104" s="146">
        <f t="shared" si="24"/>
        <v>1472367</v>
      </c>
      <c r="G104" s="146">
        <f t="shared" si="24"/>
        <v>0</v>
      </c>
      <c r="H104" s="146">
        <f t="shared" si="24"/>
        <v>0</v>
      </c>
      <c r="I104" s="146">
        <f t="shared" si="24"/>
        <v>2080758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3553125</v>
      </c>
      <c r="S104" s="150">
        <f t="shared" si="24"/>
        <v>2638125</v>
      </c>
      <c r="T104" s="150">
        <f t="shared" si="24"/>
        <v>915000</v>
      </c>
      <c r="U104" s="143"/>
    </row>
    <row r="105" spans="1:21" s="144" customFormat="1" ht="12">
      <c r="A105" s="149" t="s">
        <v>781</v>
      </c>
      <c r="B105" s="150">
        <f>SUM(C105:D105)</f>
        <v>41608812</v>
      </c>
      <c r="C105" s="150">
        <f t="shared" ref="C105:R105" si="25">SUM(C97+C104)</f>
        <v>41608812</v>
      </c>
      <c r="D105" s="150">
        <f t="shared" si="25"/>
        <v>0</v>
      </c>
      <c r="E105" s="150">
        <f t="shared" si="25"/>
        <v>13528054</v>
      </c>
      <c r="F105" s="150">
        <f t="shared" si="25"/>
        <v>16000000</v>
      </c>
      <c r="G105" s="150">
        <f t="shared" si="25"/>
        <v>1500000</v>
      </c>
      <c r="H105" s="150">
        <f t="shared" si="25"/>
        <v>8500000</v>
      </c>
      <c r="I105" s="150">
        <f t="shared" si="25"/>
        <v>2080758</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41608812</v>
      </c>
      <c r="S105" s="150">
        <f>S97+S104</f>
        <v>15828749</v>
      </c>
      <c r="T105" s="150">
        <f>T97+T104</f>
        <v>19215000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15828749</v>
      </c>
      <c r="T107" s="150">
        <f>T105+T106</f>
        <v>19215000</v>
      </c>
    </row>
    <row r="108" spans="1:21" s="189" customFormat="1" ht="12">
      <c r="A108" s="162" t="s">
        <v>880</v>
      </c>
      <c r="B108" s="157"/>
      <c r="C108" s="157"/>
      <c r="D108" s="157"/>
      <c r="E108" s="301">
        <f>Application!AO640</f>
        <v>13528054</v>
      </c>
      <c r="F108" s="301">
        <f>Application!AO627</f>
        <v>16000000</v>
      </c>
      <c r="G108" s="301">
        <f>Application!AO628</f>
        <v>1500000</v>
      </c>
      <c r="H108" s="301">
        <f>Application!AO629</f>
        <v>8500000</v>
      </c>
      <c r="I108" s="301">
        <f>Application!AO630</f>
        <v>2080758</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2096</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69" t="s">
        <v>991</v>
      </c>
      <c r="E122" s="1869"/>
      <c r="F122" s="1869"/>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1" t="s">
        <v>1225</v>
      </c>
      <c r="E123" s="1787"/>
      <c r="F123" s="1787"/>
      <c r="G123" s="1787"/>
      <c r="H123" s="1787"/>
      <c r="I123" s="1787"/>
      <c r="J123" s="1787"/>
      <c r="K123" s="1787"/>
      <c r="L123" s="1787"/>
      <c r="M123" s="1787"/>
      <c r="N123" s="1787"/>
      <c r="O123" s="1787"/>
      <c r="P123" s="1787"/>
      <c r="Q123" s="1787"/>
      <c r="R123" s="1787"/>
      <c r="S123" s="1787"/>
      <c r="T123" s="324"/>
      <c r="U123" s="326"/>
    </row>
    <row r="124" spans="1:21" ht="13.2">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3.2">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3.2">
      <c r="A129" s="117" t="s">
        <v>300</v>
      </c>
      <c r="B129" s="333"/>
      <c r="C129" s="117"/>
      <c r="D129" s="1868" t="s">
        <v>998</v>
      </c>
      <c r="E129" s="1868"/>
      <c r="F129" s="1868"/>
      <c r="G129" s="1868"/>
      <c r="H129" s="1868"/>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2" t="s">
        <v>1001</v>
      </c>
      <c r="E132" s="1872"/>
      <c r="F132" s="1872"/>
      <c r="G132" s="1872"/>
      <c r="H132" s="1872"/>
      <c r="I132" s="117"/>
      <c r="J132" s="1872" t="s">
        <v>1002</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2">
      <c r="A139" s="1870" t="s">
        <v>1005</v>
      </c>
      <c r="B139" s="1870"/>
      <c r="C139" s="1870"/>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C84" sqref="C84"/>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6" t="s">
        <v>1228</v>
      </c>
      <c r="B1" s="1877"/>
      <c r="C1" s="1877"/>
      <c r="D1" s="1877"/>
      <c r="E1" s="1877"/>
      <c r="F1" s="1877"/>
      <c r="G1" s="1877"/>
      <c r="H1" s="1877"/>
      <c r="I1" s="1877"/>
      <c r="J1" s="1878"/>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2900000</v>
      </c>
      <c r="C4" s="362">
        <v>2900000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2900000</v>
      </c>
      <c r="C8" s="361">
        <f>SUM(C4:C7)</f>
        <v>2900000</v>
      </c>
      <c r="D8" s="361">
        <f>SUM(D4:D7)</f>
        <v>0</v>
      </c>
      <c r="E8" s="363"/>
      <c r="F8" s="363"/>
      <c r="G8" s="363"/>
      <c r="H8" s="363"/>
      <c r="I8" s="363"/>
      <c r="J8" s="363"/>
      <c r="K8" s="359"/>
    </row>
    <row r="9" spans="1:11" s="360" customFormat="1" ht="11.4">
      <c r="A9" s="364" t="s">
        <v>595</v>
      </c>
      <c r="B9" s="361">
        <f>'Sources and Uses Budget'!C9</f>
        <v>18300000</v>
      </c>
      <c r="C9" s="362">
        <v>18300000</v>
      </c>
      <c r="D9" s="362"/>
      <c r="E9" s="363"/>
      <c r="F9" s="363"/>
      <c r="G9" s="363"/>
      <c r="H9" s="361">
        <f>'Sources and Uses Budget'!T9</f>
        <v>18300000</v>
      </c>
      <c r="I9" s="362">
        <v>18300000</v>
      </c>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18300000</v>
      </c>
      <c r="C11" s="361">
        <f>SUM(C9:C10)</f>
        <v>18300000</v>
      </c>
      <c r="D11" s="361">
        <f>SUM(D9:D10)</f>
        <v>0</v>
      </c>
      <c r="E11" s="363"/>
      <c r="F11" s="363"/>
      <c r="G11" s="363"/>
      <c r="H11" s="361">
        <f>'Sources and Uses Budget'!T11</f>
        <v>18300000</v>
      </c>
      <c r="I11" s="361">
        <f>SUM(I9:I10)</f>
        <v>18300000</v>
      </c>
      <c r="J11" s="361">
        <f>SUM(J9:J10)</f>
        <v>0</v>
      </c>
      <c r="K11" s="359"/>
    </row>
    <row r="12" spans="1:11" s="360" customFormat="1">
      <c r="A12" s="365" t="s">
        <v>84</v>
      </c>
      <c r="B12" s="361">
        <f>'Sources and Uses Budget'!C12</f>
        <v>21200000</v>
      </c>
      <c r="C12" s="361">
        <f>SUM(C8+C11)</f>
        <v>21200000</v>
      </c>
      <c r="D12" s="361">
        <f>SUM(D8+D11)</f>
        <v>0</v>
      </c>
      <c r="E12" s="363"/>
      <c r="F12" s="363"/>
      <c r="G12" s="363"/>
      <c r="H12" s="363"/>
      <c r="I12" s="363"/>
      <c r="J12" s="363"/>
      <c r="K12" s="359"/>
    </row>
    <row r="13" spans="1:11" s="360" customFormat="1" ht="11.4">
      <c r="A13" s="366" t="s">
        <v>903</v>
      </c>
      <c r="B13" s="361">
        <f>'Sources and Uses Budget'!C13</f>
        <v>27500</v>
      </c>
      <c r="C13" s="362">
        <v>27500</v>
      </c>
      <c r="D13" s="362"/>
      <c r="E13" s="361">
        <f>'Sources and Uses Budget'!S13</f>
        <v>6875</v>
      </c>
      <c r="F13" s="362">
        <v>6875</v>
      </c>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v>0</v>
      </c>
      <c r="G17" s="362"/>
      <c r="H17" s="361">
        <f>'Sources and Uses Budget'!T17</f>
        <v>0</v>
      </c>
      <c r="I17" s="362"/>
      <c r="J17" s="362"/>
      <c r="K17" s="359"/>
    </row>
    <row r="18" spans="1:11" s="360" customFormat="1" ht="11.4">
      <c r="A18" s="364" t="s">
        <v>600</v>
      </c>
      <c r="B18" s="361">
        <f>'Sources and Uses Budget'!C18</f>
        <v>8448000</v>
      </c>
      <c r="C18" s="362">
        <v>8448000</v>
      </c>
      <c r="D18" s="362"/>
      <c r="E18" s="361">
        <f>'Sources and Uses Budget'!S18</f>
        <v>8448000</v>
      </c>
      <c r="F18" s="362">
        <v>8448000</v>
      </c>
      <c r="G18" s="362"/>
      <c r="H18" s="361">
        <f>'Sources and Uses Budget'!T18</f>
        <v>0</v>
      </c>
      <c r="I18" s="362"/>
      <c r="J18" s="362"/>
      <c r="K18" s="359"/>
    </row>
    <row r="19" spans="1:11" s="360" customFormat="1" ht="11.4">
      <c r="A19" s="364" t="s">
        <v>601</v>
      </c>
      <c r="B19" s="361">
        <f>'Sources and Uses Budget'!C19</f>
        <v>683612</v>
      </c>
      <c r="C19" s="362">
        <v>683612</v>
      </c>
      <c r="D19" s="362"/>
      <c r="E19" s="361">
        <f>'Sources and Uses Budget'!S19</f>
        <v>683612</v>
      </c>
      <c r="F19" s="362">
        <v>683612</v>
      </c>
      <c r="G19" s="362"/>
      <c r="H19" s="361">
        <f>'Sources and Uses Budget'!T19</f>
        <v>0</v>
      </c>
      <c r="I19" s="362"/>
      <c r="J19" s="362"/>
      <c r="K19" s="359"/>
    </row>
    <row r="20" spans="1:11" s="360" customFormat="1" ht="11.4">
      <c r="A20" s="364" t="s">
        <v>137</v>
      </c>
      <c r="B20" s="361">
        <f>'Sources and Uses Budget'!C20</f>
        <v>128177</v>
      </c>
      <c r="C20" s="362">
        <v>128177</v>
      </c>
      <c r="D20" s="362"/>
      <c r="E20" s="361">
        <f>'Sources and Uses Budget'!S20</f>
        <v>128177</v>
      </c>
      <c r="F20" s="362">
        <v>128177</v>
      </c>
      <c r="G20" s="362"/>
      <c r="H20" s="361">
        <f>'Sources and Uses Budget'!T20</f>
        <v>0</v>
      </c>
      <c r="I20" s="362"/>
      <c r="J20" s="362"/>
      <c r="K20" s="359"/>
    </row>
    <row r="21" spans="1:11" s="360" customFormat="1" ht="11.4">
      <c r="A21" s="364" t="s">
        <v>138</v>
      </c>
      <c r="B21" s="361">
        <f>'Sources and Uses Budget'!C21</f>
        <v>384531</v>
      </c>
      <c r="C21" s="362">
        <v>384531</v>
      </c>
      <c r="D21" s="362"/>
      <c r="E21" s="361">
        <f>'Sources and Uses Budget'!S21</f>
        <v>384531</v>
      </c>
      <c r="F21" s="362">
        <v>384531</v>
      </c>
      <c r="G21" s="362"/>
      <c r="H21" s="361">
        <f>'Sources and Uses Budget'!T21</f>
        <v>0</v>
      </c>
      <c r="I21" s="362"/>
      <c r="J21" s="362"/>
      <c r="K21" s="359"/>
    </row>
    <row r="22" spans="1:11" s="360" customFormat="1" ht="11.4">
      <c r="A22" s="364" t="s">
        <v>139</v>
      </c>
      <c r="B22" s="361">
        <f>'Sources and Uses Budget'!C22</f>
        <v>0</v>
      </c>
      <c r="C22" s="362">
        <v>0</v>
      </c>
      <c r="D22" s="362"/>
      <c r="E22" s="361">
        <f>'Sources and Uses Budget'!S22</f>
        <v>0</v>
      </c>
      <c r="F22" s="362">
        <v>0</v>
      </c>
      <c r="G22" s="362"/>
      <c r="H22" s="361">
        <f>'Sources and Uses Budget'!T22</f>
        <v>0</v>
      </c>
      <c r="I22" s="362"/>
      <c r="J22" s="362"/>
      <c r="K22" s="359"/>
    </row>
    <row r="23" spans="1:11" s="360" customFormat="1" ht="11.4">
      <c r="A23" s="364" t="s">
        <v>140</v>
      </c>
      <c r="B23" s="361">
        <f>'Sources and Uses Budget'!C23</f>
        <v>97152</v>
      </c>
      <c r="C23" s="362">
        <v>97152</v>
      </c>
      <c r="D23" s="362"/>
      <c r="E23" s="361">
        <f>'Sources and Uses Budget'!S23</f>
        <v>97152</v>
      </c>
      <c r="F23" s="362">
        <v>97152</v>
      </c>
      <c r="G23" s="362"/>
      <c r="H23" s="361">
        <f>'Sources and Uses Budget'!T23</f>
        <v>0</v>
      </c>
      <c r="I23" s="362"/>
      <c r="J23" s="362"/>
      <c r="K23" s="359"/>
    </row>
    <row r="24" spans="1:11" s="360" customFormat="1" ht="11.4">
      <c r="A24" s="508" t="s">
        <v>1641</v>
      </c>
      <c r="B24" s="361">
        <f>'Sources and Uses Budget'!C24</f>
        <v>0</v>
      </c>
      <c r="C24" s="362">
        <v>0</v>
      </c>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v>0</v>
      </c>
      <c r="D25" s="362"/>
      <c r="E25" s="361">
        <f>'Sources and Uses Budget'!S25</f>
        <v>0</v>
      </c>
      <c r="F25" s="362"/>
      <c r="G25" s="362"/>
      <c r="H25" s="361">
        <f>'Sources and Uses Budget'!T25</f>
        <v>0</v>
      </c>
      <c r="I25" s="362"/>
      <c r="J25" s="362"/>
      <c r="K25" s="359"/>
    </row>
    <row r="26" spans="1:11" s="360" customFormat="1">
      <c r="A26" s="365" t="s">
        <v>133</v>
      </c>
      <c r="B26" s="361">
        <f>'Sources and Uses Budget'!C26</f>
        <v>9741472</v>
      </c>
      <c r="C26" s="361">
        <f>SUM(C17:C25)</f>
        <v>9741472</v>
      </c>
      <c r="D26" s="361">
        <f>SUM(D17:D25)</f>
        <v>0</v>
      </c>
      <c r="E26" s="361">
        <f>'Sources and Uses Budget'!S26</f>
        <v>9741472</v>
      </c>
      <c r="F26" s="367">
        <f>SUM(F17:F25)</f>
        <v>9741472</v>
      </c>
      <c r="G26" s="367">
        <f>SUM(G17:G25)</f>
        <v>0</v>
      </c>
      <c r="H26" s="361">
        <f>'Sources and Uses Budget'!T26</f>
        <v>0</v>
      </c>
      <c r="I26" s="367">
        <f>SUM(I17:I25)</f>
        <v>0</v>
      </c>
      <c r="J26" s="367">
        <f>SUM(J17:J25)</f>
        <v>0</v>
      </c>
      <c r="K26" s="359"/>
    </row>
    <row r="27" spans="1:11" s="360" customFormat="1">
      <c r="A27" s="365" t="s">
        <v>141</v>
      </c>
      <c r="B27" s="361">
        <f>'Sources and Uses Budget'!C27</f>
        <v>250000</v>
      </c>
      <c r="C27" s="362">
        <v>250000</v>
      </c>
      <c r="D27" s="362"/>
      <c r="E27" s="361">
        <f>'Sources and Uses Budget'!S27</f>
        <v>250000</v>
      </c>
      <c r="F27" s="362">
        <v>250000</v>
      </c>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ht="11.4">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ht="11.4">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1.4">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389659</v>
      </c>
      <c r="C40" s="362">
        <v>389659</v>
      </c>
      <c r="D40" s="362"/>
      <c r="E40" s="361">
        <f>'Sources and Uses Budget'!S40</f>
        <v>389659</v>
      </c>
      <c r="F40" s="362">
        <v>389659</v>
      </c>
      <c r="G40" s="362"/>
      <c r="H40" s="361">
        <f>'Sources and Uses Budget'!T40</f>
        <v>0</v>
      </c>
      <c r="I40" s="362"/>
      <c r="J40" s="362"/>
      <c r="K40" s="359"/>
    </row>
    <row r="41" spans="1:11" s="360" customFormat="1" ht="11.4">
      <c r="A41" s="364" t="s">
        <v>146</v>
      </c>
      <c r="B41" s="361">
        <f>'Sources and Uses Budget'!C41</f>
        <v>48707</v>
      </c>
      <c r="C41" s="362">
        <v>48707</v>
      </c>
      <c r="D41" s="362"/>
      <c r="E41" s="361">
        <f>'Sources and Uses Budget'!S41</f>
        <v>48707</v>
      </c>
      <c r="F41" s="362">
        <v>48707</v>
      </c>
      <c r="G41" s="362"/>
      <c r="H41" s="361">
        <f>'Sources and Uses Budget'!T41</f>
        <v>0</v>
      </c>
      <c r="I41" s="362"/>
      <c r="J41" s="362"/>
      <c r="K41" s="359"/>
    </row>
    <row r="42" spans="1:11" s="360" customFormat="1">
      <c r="A42" s="365" t="s">
        <v>147</v>
      </c>
      <c r="B42" s="361">
        <f>'Sources and Uses Budget'!C42</f>
        <v>438366</v>
      </c>
      <c r="C42" s="361">
        <f>SUM(C39:C41)</f>
        <v>438366</v>
      </c>
      <c r="D42" s="361">
        <f>SUM(D39:D41)</f>
        <v>0</v>
      </c>
      <c r="E42" s="361">
        <f>'Sources and Uses Budget'!S42</f>
        <v>438366</v>
      </c>
      <c r="F42" s="367">
        <f>SUM(F40:F41)</f>
        <v>438366</v>
      </c>
      <c r="G42" s="367">
        <f>SUM(G40:G41)</f>
        <v>0</v>
      </c>
      <c r="H42" s="361">
        <f>'Sources and Uses Budget'!T42</f>
        <v>0</v>
      </c>
      <c r="I42" s="367">
        <f>SUM(I40:I41)</f>
        <v>0</v>
      </c>
      <c r="J42" s="367">
        <f>SUM(J40:J41)</f>
        <v>0</v>
      </c>
      <c r="K42" s="359"/>
    </row>
    <row r="43" spans="1:11" s="360" customFormat="1">
      <c r="A43" s="365" t="s">
        <v>148</v>
      </c>
      <c r="B43" s="361">
        <f>'Sources and Uses Budget'!C43</f>
        <v>40000</v>
      </c>
      <c r="C43" s="362">
        <v>40000</v>
      </c>
      <c r="D43" s="362"/>
      <c r="E43" s="361">
        <f>'Sources and Uses Budget'!S43</f>
        <v>40000</v>
      </c>
      <c r="F43" s="362">
        <v>40000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2346893</v>
      </c>
      <c r="C45" s="362">
        <v>2346893</v>
      </c>
      <c r="D45" s="362"/>
      <c r="E45" s="361">
        <f>'Sources and Uses Budget'!S45</f>
        <v>598347</v>
      </c>
      <c r="F45" s="362">
        <v>598347</v>
      </c>
      <c r="G45" s="362"/>
      <c r="H45" s="361">
        <f>'Sources and Uses Budget'!T45</f>
        <v>0</v>
      </c>
      <c r="I45" s="362"/>
      <c r="J45" s="362"/>
      <c r="K45" s="359"/>
    </row>
    <row r="46" spans="1:11" s="360" customFormat="1" ht="11.4">
      <c r="A46" s="364" t="s">
        <v>151</v>
      </c>
      <c r="B46" s="361">
        <f>'Sources and Uses Budget'!C46</f>
        <v>665071</v>
      </c>
      <c r="C46" s="362">
        <v>665071</v>
      </c>
      <c r="D46" s="362"/>
      <c r="E46" s="361">
        <f>'Sources and Uses Budget'!S46</f>
        <v>48000</v>
      </c>
      <c r="F46" s="362">
        <v>48000</v>
      </c>
      <c r="G46" s="362"/>
      <c r="H46" s="361">
        <f>'Sources and Uses Budget'!T46</f>
        <v>0</v>
      </c>
      <c r="I46" s="362"/>
      <c r="J46" s="362"/>
      <c r="K46" s="359"/>
    </row>
    <row r="47" spans="1:11" s="360" customFormat="1" ht="12" customHeight="1">
      <c r="A47" s="364" t="s">
        <v>152</v>
      </c>
      <c r="B47" s="361">
        <f>'Sources and Uses Budget'!C47</f>
        <v>0</v>
      </c>
      <c r="C47" s="362">
        <v>0</v>
      </c>
      <c r="D47" s="362"/>
      <c r="E47" s="361">
        <f>'Sources and Uses Budget'!S47</f>
        <v>0</v>
      </c>
      <c r="F47" s="362">
        <v>0</v>
      </c>
      <c r="G47" s="362"/>
      <c r="H47" s="361">
        <f>'Sources and Uses Budget'!T47</f>
        <v>0</v>
      </c>
      <c r="I47" s="362"/>
      <c r="J47" s="362"/>
      <c r="K47" s="359"/>
    </row>
    <row r="48" spans="1:11" s="360" customFormat="1" ht="11.4">
      <c r="A48" s="364" t="s">
        <v>153</v>
      </c>
      <c r="B48" s="361">
        <f>'Sources and Uses Budget'!C48</f>
        <v>131510</v>
      </c>
      <c r="C48" s="362">
        <v>131510</v>
      </c>
      <c r="D48" s="362"/>
      <c r="E48" s="361">
        <f>'Sources and Uses Budget'!S48</f>
        <v>131510</v>
      </c>
      <c r="F48" s="362">
        <v>131510</v>
      </c>
      <c r="G48" s="362"/>
      <c r="H48" s="361">
        <f>'Sources and Uses Budget'!T48</f>
        <v>0</v>
      </c>
      <c r="I48" s="362"/>
      <c r="J48" s="362"/>
      <c r="K48" s="359"/>
    </row>
    <row r="49" spans="1:11" s="360" customFormat="1" ht="11.4">
      <c r="A49" s="283" t="s">
        <v>57</v>
      </c>
      <c r="B49" s="361">
        <f>'Sources and Uses Budget'!C49</f>
        <v>0</v>
      </c>
      <c r="C49" s="362">
        <v>0</v>
      </c>
      <c r="D49" s="362"/>
      <c r="E49" s="361">
        <f>'Sources and Uses Budget'!S49</f>
        <v>0</v>
      </c>
      <c r="F49" s="362">
        <v>0</v>
      </c>
      <c r="G49" s="362"/>
      <c r="H49" s="361">
        <f>'Sources and Uses Budget'!T49</f>
        <v>0</v>
      </c>
      <c r="I49" s="362"/>
      <c r="J49" s="362"/>
      <c r="K49" s="359"/>
    </row>
    <row r="50" spans="1:11" s="360" customFormat="1" ht="11.4">
      <c r="A50" s="364" t="s">
        <v>156</v>
      </c>
      <c r="B50" s="361">
        <f>'Sources and Uses Budget'!C50</f>
        <v>82081</v>
      </c>
      <c r="C50" s="362">
        <v>82081</v>
      </c>
      <c r="D50" s="362"/>
      <c r="E50" s="361">
        <f>'Sources and Uses Budget'!S50</f>
        <v>82081</v>
      </c>
      <c r="F50" s="362">
        <v>82081</v>
      </c>
      <c r="G50" s="362"/>
      <c r="H50" s="361">
        <f>'Sources and Uses Budget'!T50</f>
        <v>0</v>
      </c>
      <c r="I50" s="362"/>
      <c r="J50" s="362"/>
      <c r="K50" s="359"/>
    </row>
    <row r="51" spans="1:11" s="360" customFormat="1" ht="11.4">
      <c r="A51" s="364" t="s">
        <v>154</v>
      </c>
      <c r="B51" s="361">
        <f>'Sources and Uses Budget'!C51</f>
        <v>17500</v>
      </c>
      <c r="C51" s="362">
        <v>17500</v>
      </c>
      <c r="D51" s="362"/>
      <c r="E51" s="361">
        <f>'Sources and Uses Budget'!S51</f>
        <v>8750</v>
      </c>
      <c r="F51" s="362">
        <v>8750</v>
      </c>
      <c r="G51" s="362"/>
      <c r="H51" s="361">
        <f>'Sources and Uses Budget'!T51</f>
        <v>0</v>
      </c>
      <c r="I51" s="362"/>
      <c r="J51" s="362"/>
      <c r="K51" s="359"/>
    </row>
    <row r="52" spans="1:11" s="360" customFormat="1" ht="11.4">
      <c r="A52" s="364" t="s">
        <v>155</v>
      </c>
      <c r="B52" s="361">
        <f>'Sources and Uses Budget'!C52</f>
        <v>200000</v>
      </c>
      <c r="C52" s="362">
        <v>200000</v>
      </c>
      <c r="D52" s="362"/>
      <c r="E52" s="361">
        <f>'Sources and Uses Budget'!S52</f>
        <v>133468</v>
      </c>
      <c r="F52" s="362">
        <v>133468</v>
      </c>
      <c r="G52" s="362"/>
      <c r="H52" s="361">
        <f>'Sources and Uses Budget'!T52</f>
        <v>0</v>
      </c>
      <c r="I52" s="362"/>
      <c r="J52" s="362"/>
      <c r="K52" s="359"/>
    </row>
    <row r="53" spans="1:11" s="360" customFormat="1" ht="11.4">
      <c r="A53" s="364" t="str">
        <f>'Sources and Uses Budget'!$A53</f>
        <v>Other: Third-Party Reports</v>
      </c>
      <c r="B53" s="361">
        <f>'Sources and Uses Budget'!C53</f>
        <v>115250</v>
      </c>
      <c r="C53" s="362">
        <v>115250</v>
      </c>
      <c r="D53" s="362"/>
      <c r="E53" s="361">
        <f>'Sources and Uses Budget'!S53</f>
        <v>115250</v>
      </c>
      <c r="F53" s="362">
        <v>115250</v>
      </c>
      <c r="G53" s="362"/>
      <c r="H53" s="361">
        <f>'Sources and Uses Budget'!T53</f>
        <v>0</v>
      </c>
      <c r="I53" s="362"/>
      <c r="J53" s="362"/>
      <c r="K53" s="359"/>
    </row>
    <row r="54" spans="1:11" s="369" customFormat="1">
      <c r="A54" s="365" t="s">
        <v>157</v>
      </c>
      <c r="B54" s="361">
        <f>'Sources and Uses Budget'!C54</f>
        <v>3558305</v>
      </c>
      <c r="C54" s="367">
        <f>SUM(C45:C53)</f>
        <v>3558305</v>
      </c>
      <c r="D54" s="367">
        <f>SUM(D45:D53)</f>
        <v>0</v>
      </c>
      <c r="E54" s="361">
        <f>'Sources and Uses Budget'!S54</f>
        <v>1117406</v>
      </c>
      <c r="F54" s="367">
        <f>SUM(F45:F53)</f>
        <v>1117406</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v>0</v>
      </c>
      <c r="D56" s="362"/>
      <c r="E56" s="363"/>
      <c r="F56" s="363"/>
      <c r="G56" s="363"/>
      <c r="H56" s="363"/>
      <c r="I56" s="363"/>
      <c r="J56" s="363"/>
      <c r="K56" s="359"/>
    </row>
    <row r="57" spans="1:11" s="360" customFormat="1" ht="12" customHeight="1">
      <c r="A57" s="364" t="s">
        <v>152</v>
      </c>
      <c r="B57" s="361">
        <f>'Sources and Uses Budget'!C57</f>
        <v>0</v>
      </c>
      <c r="C57" s="362">
        <v>0</v>
      </c>
      <c r="D57" s="362"/>
      <c r="E57" s="363"/>
      <c r="F57" s="363"/>
      <c r="G57" s="363"/>
      <c r="H57" s="363"/>
      <c r="I57" s="363"/>
      <c r="J57" s="363"/>
      <c r="K57" s="359"/>
    </row>
    <row r="58" spans="1:11" s="360" customFormat="1" ht="11.4">
      <c r="A58" s="364" t="s">
        <v>156</v>
      </c>
      <c r="B58" s="361">
        <f>'Sources and Uses Budget'!C58</f>
        <v>62160</v>
      </c>
      <c r="C58" s="362">
        <v>62160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62160</v>
      </c>
      <c r="C62" s="361">
        <f>SUM(C56:C61)</f>
        <v>62160</v>
      </c>
      <c r="D62" s="361">
        <f>SUM(D56:D61)</f>
        <v>0</v>
      </c>
      <c r="E62" s="363"/>
      <c r="F62" s="363"/>
      <c r="G62" s="363"/>
      <c r="H62" s="363"/>
      <c r="I62" s="363"/>
      <c r="J62" s="363"/>
      <c r="K62" s="359"/>
    </row>
    <row r="63" spans="1:11" s="360" customFormat="1" ht="11.4">
      <c r="A63" s="370" t="s">
        <v>302</v>
      </c>
      <c r="B63" s="361">
        <f>'Sources and Uses Budget'!C63</f>
        <v>35317803</v>
      </c>
      <c r="C63" s="361">
        <f>SUM(C8+C11+C13+C14+C15+C26+C27+C38+C42+C43+C54+C62)</f>
        <v>35317803</v>
      </c>
      <c r="D63" s="361">
        <f>SUM(D8+D11+D13+D14+D15+D26+D27+D38+D42+D43+D54+D62)</f>
        <v>0</v>
      </c>
      <c r="E63" s="361">
        <f>'Sources and Uses Budget'!S63</f>
        <v>11594119</v>
      </c>
      <c r="F63" s="361">
        <f>SUM(F10+F13+F14+F15+F26+F27+F38+F42+F43+F54)</f>
        <v>11594119</v>
      </c>
      <c r="G63" s="361">
        <f>SUM(G10+G13+G14+G15+G26+G27+G38+G42+G43+G54)</f>
        <v>0</v>
      </c>
      <c r="H63" s="361">
        <f>'Sources and Uses Budget'!T63</f>
        <v>18300000</v>
      </c>
      <c r="I63" s="361">
        <f>SUM(I11+I13+I14+I15+I26+I27+I38+I42+I43+I54)</f>
        <v>18300000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ht="11.4">
      <c r="A65" s="145" t="s">
        <v>171</v>
      </c>
      <c r="B65" s="361">
        <f>'Sources and Uses Budget'!C65</f>
        <v>230000</v>
      </c>
      <c r="C65" s="362">
        <v>230000</v>
      </c>
      <c r="D65" s="362"/>
      <c r="E65" s="361">
        <f>'Sources and Uses Budget'!S65</f>
        <v>77500</v>
      </c>
      <c r="F65" s="362">
        <v>77500</v>
      </c>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230000</v>
      </c>
      <c r="C70" s="361">
        <f>SUM(C64:C69)</f>
        <v>230000</v>
      </c>
      <c r="D70" s="361">
        <f>SUM(D64:D69)</f>
        <v>0</v>
      </c>
      <c r="E70" s="361">
        <f>'Sources and Uses Budget'!S70</f>
        <v>77500</v>
      </c>
      <c r="F70" s="367">
        <f>SUM(F65:F69)</f>
        <v>77500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v>0</v>
      </c>
      <c r="D73" s="362"/>
      <c r="E73" s="363"/>
      <c r="F73" s="363"/>
      <c r="G73" s="363"/>
      <c r="H73" s="363"/>
      <c r="I73" s="363"/>
      <c r="J73" s="363"/>
      <c r="K73" s="359"/>
    </row>
    <row r="74" spans="1:11" s="360" customFormat="1" ht="11.4">
      <c r="A74" s="366" t="s">
        <v>987</v>
      </c>
      <c r="B74" s="361">
        <f>'Sources and Uses Budget'!C74</f>
        <v>0</v>
      </c>
      <c r="C74" s="362">
        <v>0</v>
      </c>
      <c r="D74" s="362"/>
      <c r="E74" s="363"/>
      <c r="F74" s="363"/>
      <c r="G74" s="363"/>
      <c r="H74" s="363"/>
      <c r="I74" s="363"/>
      <c r="J74" s="363"/>
      <c r="K74" s="359"/>
    </row>
    <row r="75" spans="1:11" s="360" customFormat="1" ht="11.4">
      <c r="A75" s="364" t="s">
        <v>606</v>
      </c>
      <c r="B75" s="361">
        <f>'Sources and Uses Budget'!C75</f>
        <v>458000</v>
      </c>
      <c r="C75" s="362">
        <v>458000</v>
      </c>
      <c r="D75" s="362"/>
      <c r="E75" s="363"/>
      <c r="F75" s="363"/>
      <c r="G75" s="363"/>
      <c r="H75" s="363"/>
      <c r="I75" s="363"/>
      <c r="J75" s="363"/>
      <c r="K75" s="359"/>
    </row>
    <row r="76" spans="1:11" s="360" customFormat="1" ht="11.4">
      <c r="A76" s="364" t="str">
        <f>'Sources and Uses Budget'!$A76</f>
        <v>Other: LP Operating Reserve</v>
      </c>
      <c r="B76" s="361">
        <f>'Sources and Uses Budget'!C76</f>
        <v>442000</v>
      </c>
      <c r="C76" s="362">
        <v>442000</v>
      </c>
      <c r="D76" s="362"/>
      <c r="E76" s="363"/>
      <c r="F76" s="363"/>
      <c r="G76" s="363"/>
      <c r="H76" s="363"/>
      <c r="I76" s="363"/>
      <c r="J76" s="363"/>
      <c r="K76" s="359"/>
    </row>
    <row r="77" spans="1:11" s="360" customFormat="1">
      <c r="A77" s="365" t="s">
        <v>607</v>
      </c>
      <c r="B77" s="361">
        <f>'Sources and Uses Budget'!C77</f>
        <v>900000</v>
      </c>
      <c r="C77" s="361">
        <f>SUM(C72:C76)</f>
        <v>900000</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974147</v>
      </c>
      <c r="C79" s="362">
        <v>974147</v>
      </c>
      <c r="D79" s="362"/>
      <c r="E79" s="361">
        <f>'Sources and Uses Budget'!S79</f>
        <v>974147</v>
      </c>
      <c r="F79" s="362">
        <v>974147</v>
      </c>
      <c r="G79" s="362"/>
      <c r="H79" s="361">
        <f>'Sources and Uses Budget'!T79</f>
        <v>0</v>
      </c>
      <c r="I79" s="362"/>
      <c r="J79" s="362"/>
      <c r="K79" s="359"/>
    </row>
    <row r="80" spans="1:11" s="360" customFormat="1" ht="11.4">
      <c r="A80" s="364" t="s">
        <v>58</v>
      </c>
      <c r="B80" s="361">
        <f>'Sources and Uses Budget'!C80</f>
        <v>44858</v>
      </c>
      <c r="C80" s="362">
        <v>44858</v>
      </c>
      <c r="D80" s="362"/>
      <c r="E80" s="361">
        <f>'Sources and Uses Budget'!S80</f>
        <v>44858</v>
      </c>
      <c r="F80" s="362">
        <v>44858</v>
      </c>
      <c r="G80" s="362"/>
      <c r="H80" s="361">
        <f>'Sources and Uses Budget'!T80</f>
        <v>0</v>
      </c>
      <c r="I80" s="362"/>
      <c r="J80" s="362"/>
      <c r="K80" s="359"/>
    </row>
    <row r="81" spans="1:11" s="360" customFormat="1">
      <c r="A81" s="365" t="s">
        <v>1210</v>
      </c>
      <c r="B81" s="361">
        <f>'Sources and Uses Budget'!C81</f>
        <v>1019005</v>
      </c>
      <c r="C81" s="361">
        <f>SUM(C79:C80)</f>
        <v>1019005</v>
      </c>
      <c r="D81" s="361">
        <f>SUM(D79:D80)</f>
        <v>0</v>
      </c>
      <c r="E81" s="361">
        <f>'Sources and Uses Budget'!S81</f>
        <v>1019005</v>
      </c>
      <c r="F81" s="361">
        <f>SUM(F79:F80)</f>
        <v>1019005</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2095</v>
      </c>
      <c r="B83" s="361">
        <f>'Sources and Uses Budget'!C83</f>
        <v>88879</v>
      </c>
      <c r="C83" s="362">
        <v>88879</v>
      </c>
      <c r="D83" s="362"/>
      <c r="E83" s="363"/>
      <c r="F83" s="363"/>
      <c r="G83" s="363"/>
      <c r="H83" s="363"/>
      <c r="I83" s="363"/>
      <c r="J83" s="363"/>
      <c r="K83" s="359"/>
    </row>
    <row r="84" spans="1:11" s="360" customFormat="1" ht="11.4">
      <c r="A84" s="145" t="s">
        <v>768</v>
      </c>
      <c r="B84" s="361">
        <f>'Sources and Uses Budget'!C84</f>
        <v>0</v>
      </c>
      <c r="C84" s="362">
        <v>0</v>
      </c>
      <c r="D84" s="362"/>
      <c r="E84" s="361">
        <f>'Sources and Uses Budget'!S84</f>
        <v>0</v>
      </c>
      <c r="F84" s="362"/>
      <c r="G84" s="362"/>
      <c r="H84" s="361">
        <f>'Sources and Uses Budget'!T84</f>
        <v>0</v>
      </c>
      <c r="I84" s="362"/>
      <c r="J84" s="362"/>
      <c r="K84" s="359"/>
    </row>
    <row r="85" spans="1:11" s="360" customFormat="1" ht="11.4">
      <c r="A85" s="145" t="s">
        <v>769</v>
      </c>
      <c r="B85" s="361">
        <f>'Sources and Uses Budget'!C85</f>
        <v>0</v>
      </c>
      <c r="C85" s="362">
        <v>0</v>
      </c>
      <c r="D85" s="362"/>
      <c r="E85" s="361">
        <f>'Sources and Uses Budget'!S85</f>
        <v>0</v>
      </c>
      <c r="F85" s="362"/>
      <c r="G85" s="362"/>
      <c r="H85" s="361">
        <f>'Sources and Uses Budget'!T85</f>
        <v>0</v>
      </c>
      <c r="I85" s="362"/>
      <c r="J85" s="362"/>
      <c r="K85" s="359"/>
    </row>
    <row r="86" spans="1:11" s="360" customFormat="1" ht="11.4">
      <c r="A86" s="145" t="s">
        <v>770</v>
      </c>
      <c r="B86" s="361">
        <f>'Sources and Uses Budget'!C86</f>
        <v>100000</v>
      </c>
      <c r="C86" s="362">
        <v>100000</v>
      </c>
      <c r="D86" s="362"/>
      <c r="E86" s="361">
        <f>'Sources and Uses Budget'!S86</f>
        <v>100000</v>
      </c>
      <c r="F86" s="362">
        <v>100000</v>
      </c>
      <c r="G86" s="362"/>
      <c r="H86" s="361">
        <f>'Sources and Uses Budget'!T86</f>
        <v>0</v>
      </c>
      <c r="I86" s="362"/>
      <c r="J86" s="362"/>
      <c r="K86" s="359"/>
    </row>
    <row r="87" spans="1:11" s="360" customFormat="1" ht="11.4">
      <c r="A87" s="145" t="s">
        <v>771</v>
      </c>
      <c r="B87" s="361">
        <f>'Sources and Uses Budget'!C87</f>
        <v>0</v>
      </c>
      <c r="C87" s="362">
        <v>0</v>
      </c>
      <c r="D87" s="362"/>
      <c r="E87" s="361">
        <f>'Sources and Uses Budget'!S87</f>
        <v>0</v>
      </c>
      <c r="F87" s="362"/>
      <c r="G87" s="362"/>
      <c r="H87" s="361">
        <f>'Sources and Uses Budget'!T87</f>
        <v>0</v>
      </c>
      <c r="I87" s="362"/>
      <c r="J87" s="362"/>
      <c r="K87" s="359"/>
    </row>
    <row r="88" spans="1:11" s="360" customFormat="1" ht="11.4">
      <c r="A88" s="145" t="s">
        <v>772</v>
      </c>
      <c r="B88" s="361">
        <f>'Sources and Uses Budget'!C88</f>
        <v>0</v>
      </c>
      <c r="C88" s="362">
        <v>0</v>
      </c>
      <c r="D88" s="362"/>
      <c r="E88" s="363"/>
      <c r="F88" s="363"/>
      <c r="G88" s="363"/>
      <c r="H88" s="363"/>
      <c r="I88" s="363"/>
      <c r="J88" s="363"/>
      <c r="K88" s="359"/>
    </row>
    <row r="89" spans="1:11" s="360" customFormat="1" ht="11.4">
      <c r="A89" s="145" t="s">
        <v>773</v>
      </c>
      <c r="B89" s="361">
        <f>'Sources and Uses Budget'!C89</f>
        <v>350000</v>
      </c>
      <c r="C89" s="362">
        <v>350000</v>
      </c>
      <c r="D89" s="362"/>
      <c r="E89" s="361">
        <f>'Sources and Uses Budget'!S89</f>
        <v>350000</v>
      </c>
      <c r="F89" s="362">
        <v>350000</v>
      </c>
      <c r="G89" s="362"/>
      <c r="H89" s="361">
        <f>'Sources and Uses Budget'!T89</f>
        <v>0</v>
      </c>
      <c r="I89" s="362"/>
      <c r="J89" s="362"/>
      <c r="K89" s="359"/>
    </row>
    <row r="90" spans="1:11" s="360" customFormat="1" ht="11.4">
      <c r="A90" s="145" t="s">
        <v>774</v>
      </c>
      <c r="B90" s="361">
        <f>'Sources and Uses Budget'!C90</f>
        <v>20000</v>
      </c>
      <c r="C90" s="362">
        <v>20000</v>
      </c>
      <c r="D90" s="362"/>
      <c r="E90" s="361">
        <f>'Sources and Uses Budget'!S90</f>
        <v>20000</v>
      </c>
      <c r="F90" s="362">
        <v>20000</v>
      </c>
      <c r="G90" s="362"/>
      <c r="H90" s="361">
        <f>'Sources and Uses Budget'!T90</f>
        <v>0</v>
      </c>
      <c r="I90" s="362"/>
      <c r="J90" s="362"/>
      <c r="K90" s="359"/>
    </row>
    <row r="91" spans="1:11" s="360" customFormat="1" ht="11.4">
      <c r="A91" s="155" t="s">
        <v>372</v>
      </c>
      <c r="B91" s="361">
        <f>'Sources and Uses Budget'!C91</f>
        <v>15000</v>
      </c>
      <c r="C91" s="362">
        <v>15000</v>
      </c>
      <c r="D91" s="362"/>
      <c r="E91" s="361">
        <f>'Sources and Uses Budget'!S91</f>
        <v>15000</v>
      </c>
      <c r="F91" s="362">
        <v>15000</v>
      </c>
      <c r="G91" s="362"/>
      <c r="H91" s="361">
        <f>'Sources and Uses Budget'!T91</f>
        <v>0</v>
      </c>
      <c r="I91" s="362"/>
      <c r="J91" s="362"/>
      <c r="K91" s="359"/>
    </row>
    <row r="92" spans="1:11" s="360" customFormat="1" ht="11.4">
      <c r="A92" s="508" t="s">
        <v>1212</v>
      </c>
      <c r="B92" s="361">
        <f>'Sources and Uses Budget'!C92</f>
        <v>0</v>
      </c>
      <c r="C92" s="362">
        <v>0</v>
      </c>
      <c r="D92" s="362"/>
      <c r="E92" s="361">
        <f>'Sources and Uses Budget'!S92</f>
        <v>0</v>
      </c>
      <c r="F92" s="362">
        <v>0</v>
      </c>
      <c r="G92" s="362"/>
      <c r="H92" s="361">
        <f>'Sources and Uses Budget'!T92</f>
        <v>0</v>
      </c>
      <c r="I92" s="362"/>
      <c r="J92" s="362"/>
      <c r="K92" s="359"/>
    </row>
    <row r="93" spans="1:11" s="360" customFormat="1" ht="11.4">
      <c r="A93" s="364" t="str">
        <f>'Sources and Uses Budget'!$A93</f>
        <v>Other: Administrative Costs</v>
      </c>
      <c r="B93" s="361">
        <f>'Sources and Uses Budget'!C93</f>
        <v>15000</v>
      </c>
      <c r="C93" s="362">
        <v>15000</v>
      </c>
      <c r="D93" s="362"/>
      <c r="E93" s="361">
        <f>'Sources and Uses Budget'!S93</f>
        <v>15000</v>
      </c>
      <c r="F93" s="362">
        <v>15000</v>
      </c>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588879</v>
      </c>
      <c r="C96" s="361">
        <f>SUM(C83:C95)</f>
        <v>588879</v>
      </c>
      <c r="D96" s="361">
        <f>SUM(D83:D95)</f>
        <v>0</v>
      </c>
      <c r="E96" s="361">
        <f>'Sources and Uses Budget'!S96</f>
        <v>500000</v>
      </c>
      <c r="F96" s="367">
        <f>SUM(F84:F87,F89:F95)</f>
        <v>500000</v>
      </c>
      <c r="G96" s="367">
        <f>SUM(G84:G87,G89:G95)</f>
        <v>0</v>
      </c>
      <c r="H96" s="361">
        <f>'Sources and Uses Budget'!T96</f>
        <v>0</v>
      </c>
      <c r="I96" s="361">
        <f>SUM(I84:I87,I89:I95)</f>
        <v>0</v>
      </c>
      <c r="J96" s="361">
        <f>SUM(J84:J87,J89:J95)</f>
        <v>0</v>
      </c>
      <c r="K96" s="359"/>
    </row>
    <row r="97" spans="1:11" s="360" customFormat="1">
      <c r="A97" s="365" t="s">
        <v>1030</v>
      </c>
      <c r="B97" s="361">
        <f>'Sources and Uses Budget'!C97</f>
        <v>38055687</v>
      </c>
      <c r="C97" s="361">
        <f>SUM(C63+C70+C77+C81+C96)</f>
        <v>38055687</v>
      </c>
      <c r="D97" s="361">
        <f>SUM(D63+D70+D77+D81+D96)</f>
        <v>0</v>
      </c>
      <c r="E97" s="361">
        <f>'Sources and Uses Budget'!S97</f>
        <v>13190624</v>
      </c>
      <c r="F97" s="367">
        <f>SUM(+F63+F70+F81+F96)</f>
        <v>13190624</v>
      </c>
      <c r="G97" s="367">
        <f>SUM(+G63+G70+G81+G96)</f>
        <v>0</v>
      </c>
      <c r="H97" s="361">
        <f>'Sources and Uses Budget'!T97</f>
        <v>18300000</v>
      </c>
      <c r="I97" s="367">
        <f>SUM(I63+I70+I81+I96)</f>
        <v>18300000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3553125</v>
      </c>
      <c r="C99" s="362">
        <v>3553125</v>
      </c>
      <c r="D99" s="362"/>
      <c r="E99" s="361">
        <f>'Sources and Uses Budget'!S99</f>
        <v>2638125</v>
      </c>
      <c r="F99" s="362">
        <v>2638125</v>
      </c>
      <c r="G99" s="362"/>
      <c r="H99" s="361">
        <f>'Sources and Uses Budget'!T99</f>
        <v>915000</v>
      </c>
      <c r="I99" s="362">
        <v>915000</v>
      </c>
      <c r="J99" s="362"/>
      <c r="K99" s="359"/>
    </row>
    <row r="100" spans="1:11" s="360" customFormat="1" ht="11.4">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3553125</v>
      </c>
      <c r="C104" s="361">
        <f>SUM(C99:C103)</f>
        <v>3553125</v>
      </c>
      <c r="D104" s="361">
        <f>SUM(D99:D103)</f>
        <v>0</v>
      </c>
      <c r="E104" s="361">
        <f>'Sources and Uses Budget'!S104</f>
        <v>2638125</v>
      </c>
      <c r="F104" s="367">
        <f>SUM(F99:F103)</f>
        <v>2638125</v>
      </c>
      <c r="G104" s="367">
        <f>SUM(G99:G103)</f>
        <v>0</v>
      </c>
      <c r="H104" s="361">
        <f>'Sources and Uses Budget'!T104</f>
        <v>915000</v>
      </c>
      <c r="I104" s="367">
        <f>SUM(I99:I103)</f>
        <v>915000</v>
      </c>
      <c r="J104" s="367">
        <f>SUM(J99:J103)</f>
        <v>0</v>
      </c>
      <c r="K104" s="359"/>
    </row>
    <row r="105" spans="1:11" s="360" customFormat="1">
      <c r="A105" s="365" t="s">
        <v>1031</v>
      </c>
      <c r="B105" s="361">
        <f>'Sources and Uses Budget'!C105</f>
        <v>41608812</v>
      </c>
      <c r="C105" s="367">
        <f>SUM(C97+C104)</f>
        <v>41608812</v>
      </c>
      <c r="D105" s="367">
        <f>SUM(D97+D104)</f>
        <v>0</v>
      </c>
      <c r="E105" s="361">
        <f>'Sources and Uses Budget'!S105</f>
        <v>15828749</v>
      </c>
      <c r="F105" s="367">
        <f>F97+F104</f>
        <v>15828749</v>
      </c>
      <c r="G105" s="367">
        <f>G97+G104</f>
        <v>0</v>
      </c>
      <c r="H105" s="361">
        <f>'Sources and Uses Budget'!T105</f>
        <v>19215000</v>
      </c>
      <c r="I105" s="367">
        <f>I97+I104</f>
        <v>19215000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15828749</v>
      </c>
      <c r="F107" s="367">
        <f>F105+F106</f>
        <v>15828749</v>
      </c>
      <c r="G107" s="367">
        <f>G105+G106</f>
        <v>0</v>
      </c>
      <c r="H107" s="361">
        <f>'Sources and Uses Budget'!T107</f>
        <v>19215000</v>
      </c>
      <c r="I107" s="367">
        <f>I105+I106</f>
        <v>19215000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4"/>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2324" t="s">
        <v>2457</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2456</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6" t="str">
        <f>IF(Application!H18="","",Application!H18)</f>
        <v>Queen Apartments</v>
      </c>
      <c r="M4" s="2317"/>
      <c r="N4" s="2317"/>
      <c r="O4" s="2317"/>
      <c r="P4" s="2317"/>
      <c r="Q4" s="2317"/>
      <c r="R4" s="2317"/>
      <c r="S4" s="2317"/>
      <c r="T4" s="2317"/>
      <c r="U4" s="2317"/>
      <c r="V4" s="2317"/>
      <c r="W4" s="2317"/>
      <c r="X4" s="2317"/>
      <c r="Y4" s="2317"/>
      <c r="Z4" s="2317"/>
      <c r="AA4" s="2317"/>
      <c r="AB4" s="2317"/>
      <c r="AC4" s="2318"/>
      <c r="AD4" s="1190"/>
      <c r="AE4" s="1190"/>
      <c r="AF4" s="2312" t="s">
        <v>2455</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2454</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6" t="str">
        <f>IF(Application!H16="","",Application!H16)</f>
        <v>Queen Apartments GP, LLC</v>
      </c>
      <c r="M6" s="2317"/>
      <c r="N6" s="2317"/>
      <c r="O6" s="2317"/>
      <c r="P6" s="2317"/>
      <c r="Q6" s="2317"/>
      <c r="R6" s="2317"/>
      <c r="S6" s="2317"/>
      <c r="T6" s="2317"/>
      <c r="U6" s="2317"/>
      <c r="V6" s="2317"/>
      <c r="W6" s="2317"/>
      <c r="X6" s="2317"/>
      <c r="Y6" s="2317"/>
      <c r="Z6" s="2317"/>
      <c r="AA6" s="2317"/>
      <c r="AB6" s="2317"/>
      <c r="AC6" s="2318"/>
      <c r="AD6" s="1190"/>
      <c r="AE6" s="1190"/>
      <c r="AF6" s="2319" t="s">
        <v>2452</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2451</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Yes</v>
      </c>
      <c r="AC8" s="2322"/>
      <c r="AD8" s="2323"/>
      <c r="AE8" s="1190"/>
      <c r="AF8" s="2319" t="s">
        <v>2449</v>
      </c>
      <c r="AG8" s="2319"/>
      <c r="AH8" s="2319"/>
      <c r="AI8" s="2319"/>
      <c r="AJ8" s="2319"/>
      <c r="AK8" s="2319"/>
      <c r="AL8" s="2319"/>
      <c r="AM8" s="2319"/>
      <c r="AN8" s="2319"/>
      <c r="AO8" s="2319"/>
      <c r="AP8" s="2320" t="s">
        <v>2099</v>
      </c>
      <c r="AQ8" s="2320"/>
      <c r="AR8" s="2320"/>
      <c r="AS8" s="2320"/>
      <c r="AT8" s="2320"/>
      <c r="AU8" s="2320"/>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2448</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2315">
        <f>Application!AO627</f>
        <v>16000000</v>
      </c>
      <c r="O10" s="2315"/>
      <c r="P10" s="2315"/>
      <c r="Q10" s="2315"/>
      <c r="R10" s="2315"/>
      <c r="S10" s="2315"/>
      <c r="T10" s="2315"/>
      <c r="U10" s="1190"/>
      <c r="V10" s="1190"/>
      <c r="W10" s="1190"/>
      <c r="X10" s="1193"/>
      <c r="Y10" s="1193"/>
      <c r="Z10" s="1193"/>
      <c r="AA10" s="1193"/>
      <c r="AB10" s="1193"/>
      <c r="AC10" s="1193"/>
      <c r="AD10" s="1193"/>
      <c r="AE10" s="1193"/>
      <c r="AF10" s="2312" t="s">
        <v>2445</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2442</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2303" t="s">
        <v>2440</v>
      </c>
      <c r="C13" s="2304"/>
      <c r="D13" s="2304"/>
      <c r="E13" s="2304"/>
      <c r="F13" s="2304"/>
      <c r="G13" s="2304"/>
      <c r="H13" s="2304"/>
      <c r="I13" s="2304"/>
      <c r="J13" s="2304"/>
      <c r="K13" s="2304"/>
      <c r="L13" s="2304"/>
      <c r="M13" s="2304"/>
      <c r="N13" s="2304"/>
      <c r="O13" s="2304"/>
      <c r="P13" s="2305"/>
      <c r="Q13" s="2306" t="s">
        <v>670</v>
      </c>
      <c r="R13" s="2307"/>
      <c r="S13" s="2307"/>
      <c r="T13" s="2308"/>
      <c r="U13" s="1193"/>
      <c r="V13" s="1190"/>
      <c r="W13" s="1190"/>
      <c r="X13" s="1190"/>
      <c r="Y13" s="1190"/>
      <c r="Z13" s="1190"/>
      <c r="AA13" s="2293" t="s">
        <v>2439</v>
      </c>
      <c r="AB13" s="2293"/>
      <c r="AC13" s="2293"/>
      <c r="AD13" s="2293"/>
      <c r="AE13" s="2293"/>
      <c r="AF13" s="2293"/>
      <c r="AG13" s="2293"/>
      <c r="AH13" s="2293"/>
      <c r="AI13" s="2293"/>
      <c r="AJ13" s="2293"/>
      <c r="AK13" s="2293"/>
      <c r="AL13" s="2293"/>
      <c r="AM13" s="2293"/>
      <c r="AN13" s="2293"/>
      <c r="AO13" s="2309">
        <f>Application!W473</f>
        <v>0</v>
      </c>
      <c r="AP13" s="2310"/>
      <c r="AQ13" s="2310"/>
      <c r="AR13" s="2310"/>
      <c r="AS13" s="2310"/>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2437</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ht="15" thickBot="1">
      <c r="A15" s="1190"/>
      <c r="B15" s="2288" t="s">
        <v>2436</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2435</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101" t="s">
        <v>2434</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2433</v>
      </c>
      <c r="C18" s="2297"/>
      <c r="D18" s="2297"/>
      <c r="E18" s="2297"/>
      <c r="F18" s="2297"/>
      <c r="G18" s="2297"/>
      <c r="H18" s="2297"/>
      <c r="I18" s="2298"/>
      <c r="J18" s="2299" t="s">
        <v>1587</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2432</v>
      </c>
      <c r="AU18" s="2300"/>
      <c r="AV18" s="2300"/>
      <c r="AW18" s="2300"/>
      <c r="AX18" s="2300"/>
      <c r="AY18" s="2302"/>
      <c r="AZ18" s="1190"/>
      <c r="BA18" s="1190"/>
      <c r="BB18" s="1190"/>
      <c r="BC18" s="1190"/>
      <c r="BD18" s="1190"/>
      <c r="BE18" s="1194"/>
    </row>
    <row r="19" spans="1:58" ht="14.4">
      <c r="A19" s="1190"/>
      <c r="B19" s="2282">
        <v>0.3</v>
      </c>
      <c r="C19" s="2283"/>
      <c r="D19" s="2283"/>
      <c r="E19" s="2283"/>
      <c r="F19" s="2283"/>
      <c r="G19" s="2283"/>
      <c r="H19" s="2283"/>
      <c r="I19" s="2284"/>
      <c r="J19" s="2285">
        <f t="shared" ref="J19:J24" si="0">SUM(P19:AS19)</f>
        <v>13</v>
      </c>
      <c r="K19" s="2286"/>
      <c r="L19" s="2286"/>
      <c r="M19" s="2286"/>
      <c r="N19" s="2286"/>
      <c r="O19" s="2287"/>
      <c r="P19" s="2285" cm="1">
        <f t="array" ref="P19">SUMPRODUCT((Application!$B$718:$B$752 = 'CalHFA Addendum'!P$18)*(Application!$AC$718:$AC$752 = 'CalHFA Addendum'!$B19),Application!$G$718:$G$752)</f>
        <v>10</v>
      </c>
      <c r="Q19" s="2286"/>
      <c r="R19" s="2286"/>
      <c r="S19" s="2286"/>
      <c r="T19" s="2286"/>
      <c r="U19" s="2287"/>
      <c r="V19" s="2285" cm="1">
        <f t="array" ref="V19">SUMPRODUCT((Application!$B$714:$B$738 = 'CalHFA Addendum'!V$18)*(Application!$AC$714:$AC$738 = 'CalHFA Addendum'!$B19),Application!$G$714:$G$738)</f>
        <v>3</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0.13978494623655913</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0"/>
      <c r="BA20" s="1190"/>
      <c r="BB20" s="1190"/>
      <c r="BC20" s="1190"/>
      <c r="BD20" s="1190"/>
      <c r="BE20" s="1194"/>
    </row>
    <row r="21" spans="1:58" ht="14.4">
      <c r="A21" s="1190"/>
      <c r="B21" s="2282">
        <v>0.5</v>
      </c>
      <c r="C21" s="2283"/>
      <c r="D21" s="2283"/>
      <c r="E21" s="2283"/>
      <c r="F21" s="2283"/>
      <c r="G21" s="2283"/>
      <c r="H21" s="2283"/>
      <c r="I21" s="2284"/>
      <c r="J21" s="2285">
        <f t="shared" si="0"/>
        <v>36</v>
      </c>
      <c r="K21" s="2286"/>
      <c r="L21" s="2286"/>
      <c r="M21" s="2286"/>
      <c r="N21" s="2286"/>
      <c r="O21" s="2287"/>
      <c r="P21" s="2285" cm="1">
        <f t="array" ref="P21">SUMPRODUCT((Application!$B$714:$B$738 = 'CalHFA Addendum'!P$18)*(Application!$AC$714:$AC$738 = 'CalHFA Addendum'!$B21),Application!$G$714:$G$738)</f>
        <v>33</v>
      </c>
      <c r="Q21" s="2286"/>
      <c r="R21" s="2286"/>
      <c r="S21" s="2286"/>
      <c r="T21" s="2286"/>
      <c r="U21" s="2287"/>
      <c r="V21" s="2285" cm="1">
        <f t="array" ref="V21">SUMPRODUCT((Application!$B$714:$B$738 = 'CalHFA Addendum'!V$18)*(Application!$AC$714:$AC$738 = 'CalHFA Addendum'!$B21),Application!$G$714:$G$738)</f>
        <v>3</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0.38709677419354838</v>
      </c>
      <c r="AU21" s="2271"/>
      <c r="AV21" s="2271"/>
      <c r="AW21" s="2271"/>
      <c r="AX21" s="2271"/>
      <c r="AY21" s="2272"/>
      <c r="AZ21" s="1190"/>
      <c r="BA21" s="1190"/>
      <c r="BB21" s="1190"/>
      <c r="BC21" s="1190"/>
      <c r="BD21" s="1190"/>
      <c r="BE21" s="1194"/>
    </row>
    <row r="22" spans="1:58" ht="14.4">
      <c r="A22" s="1190"/>
      <c r="B22" s="2282">
        <v>0.6</v>
      </c>
      <c r="C22" s="2283"/>
      <c r="D22" s="2283"/>
      <c r="E22" s="2283"/>
      <c r="F22" s="2283"/>
      <c r="G22" s="2283"/>
      <c r="H22" s="2283"/>
      <c r="I22" s="2284"/>
      <c r="J22" s="2285">
        <f t="shared" si="0"/>
        <v>42</v>
      </c>
      <c r="K22" s="2286"/>
      <c r="L22" s="2286"/>
      <c r="M22" s="2286"/>
      <c r="N22" s="2286"/>
      <c r="O22" s="2287"/>
      <c r="P22" s="2285" cm="1">
        <f t="array" ref="P22">SUMPRODUCT((Application!$B$714:$B$738 = 'CalHFA Addendum'!P$18)*(Application!$AC$714:$AC$738 = 'CalHFA Addendum'!$B22),Application!$G$714:$G$738)</f>
        <v>40</v>
      </c>
      <c r="Q22" s="2286"/>
      <c r="R22" s="2286"/>
      <c r="S22" s="2286"/>
      <c r="T22" s="2286"/>
      <c r="U22" s="2287"/>
      <c r="V22" s="2285" cm="1">
        <f t="array" ref="V22">SUMPRODUCT((Application!$B$714:$B$738 = 'CalHFA Addendum'!V$18)*(Application!$AC$714:$AC$738 = 'CalHFA Addendum'!$B22),Application!$G$714:$G$738)</f>
        <v>2</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0.45161290322580644</v>
      </c>
      <c r="AU22" s="2271"/>
      <c r="AV22" s="2271"/>
      <c r="AW22" s="2271"/>
      <c r="AX22" s="2271"/>
      <c r="AY22" s="2272"/>
      <c r="AZ22" s="1190"/>
      <c r="BA22" s="1190"/>
      <c r="BB22" s="1190"/>
      <c r="BC22" s="1190"/>
      <c r="BD22" s="1190"/>
      <c r="BE22" s="1194"/>
    </row>
    <row r="23" spans="1:58" ht="14.4">
      <c r="A23" s="1190"/>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0"/>
      <c r="BA23" s="1190"/>
      <c r="BB23" s="1190"/>
      <c r="BC23" s="1190"/>
      <c r="BD23" s="1190"/>
      <c r="BE23" s="1194"/>
    </row>
    <row r="24" spans="1:58" ht="14.4">
      <c r="A24" s="1190"/>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0"/>
      <c r="BA24" s="1190"/>
      <c r="BB24" s="1190"/>
      <c r="BC24" s="1190"/>
      <c r="BD24" s="1190"/>
      <c r="BE24" s="1194"/>
    </row>
    <row r="25" spans="1:58" ht="14.4">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4.4">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4.4">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ht="15" thickBot="1">
      <c r="A28" s="1190"/>
      <c r="B28" s="2273" t="s">
        <v>2431</v>
      </c>
      <c r="C28" s="2274"/>
      <c r="D28" s="2274"/>
      <c r="E28" s="2274"/>
      <c r="F28" s="2274"/>
      <c r="G28" s="2274"/>
      <c r="H28" s="2274"/>
      <c r="I28" s="2275"/>
      <c r="J28" s="2276">
        <f>SUM(P28:AS28)</f>
        <v>2</v>
      </c>
      <c r="K28" s="2277"/>
      <c r="L28" s="2277"/>
      <c r="M28" s="2277"/>
      <c r="N28" s="2277"/>
      <c r="O28" s="2278"/>
      <c r="P28" s="2276">
        <f>_xlfn.IFNA(VLOOKUP(P$18,Application!$J$773:$S$776,6,FALSE), 0)</f>
        <v>1</v>
      </c>
      <c r="Q28" s="2277"/>
      <c r="R28" s="2277"/>
      <c r="S28" s="2277"/>
      <c r="T28" s="2277"/>
      <c r="U28" s="2278"/>
      <c r="V28" s="2276">
        <f>_xlfn.IFNA(VLOOKUP(V$18,Application!$J$773:$S$776,6,FALSE), 0)</f>
        <v>1</v>
      </c>
      <c r="W28" s="2277"/>
      <c r="X28" s="2277"/>
      <c r="Y28" s="2277"/>
      <c r="Z28" s="2277"/>
      <c r="AA28" s="2278"/>
      <c r="AB28" s="2276">
        <f>_xlfn.IFNA(VLOOKUP(AB$18,Application!$J$773:$S$776,6,FALSE), 0)</f>
        <v>0</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2.1505376344086023E-2</v>
      </c>
      <c r="AU28" s="2280"/>
      <c r="AV28" s="2280"/>
      <c r="AW28" s="2280"/>
      <c r="AX28" s="2280"/>
      <c r="AY28" s="2281"/>
      <c r="AZ28" s="1190"/>
      <c r="BA28" s="1190"/>
      <c r="BB28" s="1190"/>
      <c r="BC28" s="1190"/>
      <c r="BD28" s="1190"/>
      <c r="BE28" s="1194"/>
    </row>
    <row r="29" spans="1:58" ht="15" thickBot="1">
      <c r="A29" s="1190"/>
      <c r="B29" s="2256" t="s">
        <v>1587</v>
      </c>
      <c r="C29" s="2229"/>
      <c r="D29" s="2229"/>
      <c r="E29" s="2229"/>
      <c r="F29" s="2229"/>
      <c r="G29" s="2229"/>
      <c r="H29" s="2229"/>
      <c r="I29" s="2230"/>
      <c r="J29" s="2228">
        <f>SUM(J19:O28)</f>
        <v>93</v>
      </c>
      <c r="K29" s="2229"/>
      <c r="L29" s="2229"/>
      <c r="M29" s="2229"/>
      <c r="N29" s="2229"/>
      <c r="O29" s="2230"/>
      <c r="P29" s="2228">
        <f>SUM(P19:U28)</f>
        <v>84</v>
      </c>
      <c r="Q29" s="2229"/>
      <c r="R29" s="2229"/>
      <c r="S29" s="2229"/>
      <c r="T29" s="2229"/>
      <c r="U29" s="2230"/>
      <c r="V29" s="2228">
        <f>SUM(V19:AA28)</f>
        <v>9</v>
      </c>
      <c r="W29" s="2229"/>
      <c r="X29" s="2229"/>
      <c r="Y29" s="2229"/>
      <c r="Z29" s="2229"/>
      <c r="AA29" s="2230"/>
      <c r="AB29" s="2228">
        <f>SUM(AB19:AG28)</f>
        <v>0</v>
      </c>
      <c r="AC29" s="2229"/>
      <c r="AD29" s="2229"/>
      <c r="AE29" s="2229"/>
      <c r="AF29" s="2229"/>
      <c r="AG29" s="2230"/>
      <c r="AH29" s="2228">
        <f>SUM(AH19:AM28)</f>
        <v>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4" t="s">
        <v>2430</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ht="15" thickBot="1">
      <c r="A32" s="1190"/>
      <c r="B32" s="2237" t="s">
        <v>2429</v>
      </c>
      <c r="C32" s="2238"/>
      <c r="D32" s="2238"/>
      <c r="E32" s="2238"/>
      <c r="F32" s="2238"/>
      <c r="G32" s="2238"/>
      <c r="H32" s="2238"/>
      <c r="I32" s="2238"/>
      <c r="J32" s="2241" t="s">
        <v>2428</v>
      </c>
      <c r="K32" s="2242"/>
      <c r="L32" s="2242"/>
      <c r="M32" s="2242"/>
      <c r="N32" s="2241" t="s">
        <v>2427</v>
      </c>
      <c r="O32" s="2242"/>
      <c r="P32" s="2242"/>
      <c r="Q32" s="2244"/>
      <c r="R32" s="2246" t="s">
        <v>2426</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2425</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2424</v>
      </c>
      <c r="AT35" s="2258"/>
      <c r="AU35" s="2258"/>
      <c r="AV35" s="2258"/>
      <c r="AW35" s="2258"/>
      <c r="AX35" s="2266"/>
      <c r="AY35" s="2257" t="s">
        <v>2423</v>
      </c>
      <c r="AZ35" s="2258"/>
      <c r="BA35" s="2258"/>
      <c r="BB35" s="2258"/>
      <c r="BC35" s="2258"/>
      <c r="BD35" s="2259"/>
      <c r="BE35" s="1194"/>
    </row>
    <row r="36" spans="1:58" ht="15.75" customHeight="1">
      <c r="A36" s="1190"/>
      <c r="B36" s="2161" t="s">
        <v>2422</v>
      </c>
      <c r="C36" s="2162"/>
      <c r="D36" s="2162"/>
      <c r="E36" s="2162"/>
      <c r="F36" s="2162"/>
      <c r="G36" s="2162"/>
      <c r="H36" s="2162"/>
      <c r="I36" s="2162"/>
      <c r="J36" s="2226" t="s">
        <v>2421</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2420</v>
      </c>
      <c r="C37" s="2162"/>
      <c r="D37" s="2162"/>
      <c r="E37" s="2162"/>
      <c r="F37" s="2162"/>
      <c r="G37" s="2162"/>
      <c r="H37" s="2162"/>
      <c r="I37" s="2162"/>
      <c r="J37" s="2226" t="s">
        <v>2419</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2418</v>
      </c>
      <c r="C38" s="2162"/>
      <c r="D38" s="2162"/>
      <c r="E38" s="2162"/>
      <c r="F38" s="2162"/>
      <c r="G38" s="2162"/>
      <c r="H38" s="2162"/>
      <c r="I38" s="2162"/>
      <c r="J38" s="2226" t="s">
        <v>2417</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2416</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2416</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2415</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2415</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2414</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2413</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2412</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2336</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2409</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2402</v>
      </c>
      <c r="C51" s="2104"/>
      <c r="D51" s="2104"/>
      <c r="E51" s="2104"/>
      <c r="F51" s="2104"/>
      <c r="G51" s="2104"/>
      <c r="H51" s="2104"/>
      <c r="I51" s="2104"/>
      <c r="J51" s="2104" t="s">
        <v>2408</v>
      </c>
      <c r="K51" s="2104"/>
      <c r="L51" s="2104"/>
      <c r="M51" s="2104"/>
      <c r="N51" s="2104"/>
      <c r="O51" s="2104"/>
      <c r="P51" s="2104"/>
      <c r="Q51" s="2104"/>
      <c r="R51" s="2205" t="s">
        <v>2407</v>
      </c>
      <c r="S51" s="2205"/>
      <c r="T51" s="2205"/>
      <c r="U51" s="2205"/>
      <c r="V51" s="2205"/>
      <c r="W51" s="2205"/>
      <c r="X51" s="2205"/>
      <c r="Y51" s="2205"/>
      <c r="Z51" s="2205" t="s">
        <v>2406</v>
      </c>
      <c r="AA51" s="2205"/>
      <c r="AB51" s="2205"/>
      <c r="AC51" s="2205"/>
      <c r="AD51" s="2205"/>
      <c r="AE51" s="2205"/>
      <c r="AF51" s="2205"/>
      <c r="AG51" s="2205"/>
      <c r="AH51" s="2205" t="s">
        <v>2405</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2404</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2403</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1587</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2402</v>
      </c>
      <c r="C59" s="2195"/>
      <c r="D59" s="2195"/>
      <c r="E59" s="2195"/>
      <c r="F59" s="2195"/>
      <c r="G59" s="2195"/>
      <c r="H59" s="2195"/>
      <c r="I59" s="2196"/>
      <c r="J59" s="2102" t="s">
        <v>2401</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2399</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2398</v>
      </c>
      <c r="AD68" s="2028"/>
      <c r="AE68" s="2028"/>
      <c r="AF68" s="2028"/>
      <c r="AG68" s="2028"/>
      <c r="AH68" s="2028"/>
      <c r="AI68" s="2028"/>
      <c r="AJ68" s="2028"/>
      <c r="AK68" s="2028"/>
      <c r="AL68" s="2028"/>
      <c r="AM68" s="2028"/>
      <c r="AN68" s="2028"/>
      <c r="AO68" s="2028"/>
      <c r="AP68" s="2028"/>
      <c r="AQ68" s="2028"/>
      <c r="AR68" s="2028"/>
      <c r="AS68" s="2028"/>
      <c r="AT68" s="2028"/>
      <c r="AU68" s="2028"/>
      <c r="AV68" s="2178" t="s">
        <v>670</v>
      </c>
      <c r="AW68" s="2084"/>
      <c r="AX68" s="2084"/>
      <c r="AY68" s="2084"/>
      <c r="AZ68" s="2084"/>
      <c r="BA68" s="2084"/>
      <c r="BB68" s="2084"/>
      <c r="BC68" s="2085"/>
      <c r="BD68" s="1190"/>
      <c r="BE68" s="1194"/>
      <c r="BM68" s="1199" t="s">
        <v>2397</v>
      </c>
    </row>
    <row r="69" spans="1:94" ht="15.75" customHeight="1" thickTop="1" thickBot="1">
      <c r="A69" s="1190"/>
      <c r="B69" s="2179" t="s">
        <v>2396</v>
      </c>
      <c r="C69" s="2180"/>
      <c r="D69" s="2180"/>
      <c r="E69" s="2180"/>
      <c r="F69" s="2180"/>
      <c r="G69" s="2180"/>
      <c r="H69" s="2180"/>
      <c r="I69" s="2180"/>
      <c r="J69" s="2180"/>
      <c r="K69" s="2180"/>
      <c r="L69" s="2180"/>
      <c r="M69" s="2180"/>
      <c r="N69" s="2180"/>
      <c r="O69" s="2181" t="s">
        <v>2395</v>
      </c>
      <c r="P69" s="2182"/>
      <c r="Q69" s="2182"/>
      <c r="R69" s="2182"/>
      <c r="S69" s="2182"/>
      <c r="T69" s="2182"/>
      <c r="U69" s="2182"/>
      <c r="V69" s="2182"/>
      <c r="W69" s="2182"/>
      <c r="X69" s="2182"/>
      <c r="Y69" s="2182"/>
      <c r="Z69" s="2182"/>
      <c r="AA69" s="2183"/>
      <c r="AB69" s="1190"/>
      <c r="AC69" s="2184" t="s">
        <v>2394</v>
      </c>
      <c r="AD69" s="2185"/>
      <c r="AE69" s="2185"/>
      <c r="AF69" s="2185"/>
      <c r="AG69" s="2185"/>
      <c r="AH69" s="2185"/>
      <c r="AI69" s="2185"/>
      <c r="AJ69" s="2185"/>
      <c r="AK69" s="2185"/>
      <c r="AL69" s="2185"/>
      <c r="AM69" s="2185"/>
      <c r="AN69" s="2185"/>
      <c r="AO69" s="2185"/>
      <c r="AP69" s="2185"/>
      <c r="AQ69" s="2185"/>
      <c r="AR69" s="2185"/>
      <c r="AS69" s="2185"/>
      <c r="AT69" s="2185"/>
      <c r="AU69" s="2185"/>
      <c r="AV69" s="2178" t="s">
        <v>670</v>
      </c>
      <c r="AW69" s="2084"/>
      <c r="AX69" s="2084"/>
      <c r="AY69" s="2084"/>
      <c r="AZ69" s="2084"/>
      <c r="BA69" s="2084"/>
      <c r="BB69" s="2084"/>
      <c r="BC69" s="2085"/>
      <c r="BD69" s="1190"/>
      <c r="BE69" s="1194"/>
      <c r="BM69" s="1200" t="s">
        <v>546</v>
      </c>
    </row>
    <row r="70" spans="1:94" ht="15.75" customHeight="1">
      <c r="A70" s="1190"/>
      <c r="B70" s="2161" t="s">
        <v>2393</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2392</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670</v>
      </c>
    </row>
    <row r="71" spans="1:94" ht="15.75" customHeight="1" thickBot="1">
      <c r="A71" s="1190"/>
      <c r="B71" s="2161" t="s">
        <v>2391</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2390</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2389</v>
      </c>
    </row>
    <row r="72" spans="1:94" ht="15.75" customHeight="1">
      <c r="A72" s="1190"/>
      <c r="B72" s="2161" t="s">
        <v>2388</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2387</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2386</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2331</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2384</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2383</v>
      </c>
      <c r="C81" s="2156"/>
      <c r="D81" s="2156"/>
      <c r="E81" s="2156"/>
      <c r="F81" s="2156"/>
      <c r="G81" s="2156"/>
      <c r="H81" s="2156"/>
      <c r="I81" s="2156"/>
      <c r="J81" s="2156"/>
      <c r="K81" s="2156"/>
      <c r="L81" s="2156"/>
      <c r="M81" s="2156"/>
      <c r="N81" s="2156"/>
      <c r="O81" s="2156"/>
      <c r="P81" s="2156"/>
      <c r="Q81" s="2156"/>
      <c r="R81" s="2137" t="s">
        <v>2189</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2382</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2381</v>
      </c>
      <c r="AK83" s="2126"/>
      <c r="AL83" s="2126"/>
      <c r="AM83" s="2126"/>
      <c r="AN83" s="2126"/>
      <c r="AO83" s="2126"/>
      <c r="AP83" s="2126"/>
      <c r="AQ83" s="2126"/>
      <c r="AR83" s="2126"/>
      <c r="AS83" s="2126"/>
      <c r="AT83" s="2126"/>
      <c r="AU83" s="2126"/>
      <c r="AV83" s="2126"/>
      <c r="AW83" s="2126"/>
      <c r="AX83" s="2126"/>
      <c r="AY83" s="2142" t="s">
        <v>546</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2371</v>
      </c>
      <c r="J84" s="2104"/>
      <c r="K84" s="2104"/>
      <c r="L84" s="2104"/>
      <c r="M84" s="2104"/>
      <c r="N84" s="2104"/>
      <c r="O84" s="2104" t="s">
        <v>2347</v>
      </c>
      <c r="P84" s="2104"/>
      <c r="Q84" s="2104"/>
      <c r="R84" s="2104"/>
      <c r="S84" s="2104"/>
      <c r="T84" s="2104"/>
      <c r="U84" s="2104"/>
      <c r="V84" s="2140" t="s">
        <v>2346</v>
      </c>
      <c r="W84" s="2140"/>
      <c r="X84" s="2140"/>
      <c r="Y84" s="2140"/>
      <c r="Z84" s="2140"/>
      <c r="AA84" s="2140"/>
      <c r="AB84" s="2074" t="s">
        <v>2370</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2369</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2368</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2375</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2367</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2379</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2378</v>
      </c>
      <c r="C94" s="2156"/>
      <c r="D94" s="2156"/>
      <c r="E94" s="2156"/>
      <c r="F94" s="2156"/>
      <c r="G94" s="2156"/>
      <c r="H94" s="2156"/>
      <c r="I94" s="2156"/>
      <c r="J94" s="2156"/>
      <c r="K94" s="2156"/>
      <c r="L94" s="2156"/>
      <c r="M94" s="2156"/>
      <c r="N94" s="2156"/>
      <c r="O94" s="2156"/>
      <c r="P94" s="2156"/>
      <c r="Q94" s="2157"/>
      <c r="R94" s="2137" t="s">
        <v>2189</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2377</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2376</v>
      </c>
      <c r="AK96" s="2126"/>
      <c r="AL96" s="2126"/>
      <c r="AM96" s="2126"/>
      <c r="AN96" s="2126"/>
      <c r="AO96" s="2126"/>
      <c r="AP96" s="2126"/>
      <c r="AQ96" s="2126"/>
      <c r="AR96" s="2126"/>
      <c r="AS96" s="2126"/>
      <c r="AT96" s="2126"/>
      <c r="AU96" s="2126"/>
      <c r="AV96" s="2126"/>
      <c r="AW96" s="2126"/>
      <c r="AX96" s="2126"/>
      <c r="AY96" s="2142" t="s">
        <v>546</v>
      </c>
      <c r="AZ96" s="2142"/>
      <c r="BA96" s="2142"/>
      <c r="BB96" s="2143"/>
      <c r="BC96" s="1190"/>
      <c r="BD96" s="1190"/>
      <c r="BE96" s="1194"/>
      <c r="BQ96" s="1256" t="str">
        <f>Application!M243&amp;IF(TRIM(Application!AA249)&lt;&gt;""," ("&amp;Application!AA249&amp;")","")</f>
        <v>Community Revitalization &amp; Development Corporation</v>
      </c>
      <c r="BR96" s="1259">
        <f>Application!AH246</f>
        <v>1E-3</v>
      </c>
      <c r="CM96" s="1188"/>
      <c r="CN96" s="1188"/>
      <c r="CO96" s="1188"/>
      <c r="CP96" s="1188"/>
    </row>
    <row r="97" spans="1:94" ht="15.75" customHeight="1">
      <c r="A97" s="1190"/>
      <c r="B97" s="2136"/>
      <c r="C97" s="2104"/>
      <c r="D97" s="2104"/>
      <c r="E97" s="2104"/>
      <c r="F97" s="2104"/>
      <c r="G97" s="2104"/>
      <c r="H97" s="2104"/>
      <c r="I97" s="2104" t="s">
        <v>2371</v>
      </c>
      <c r="J97" s="2104"/>
      <c r="K97" s="2104"/>
      <c r="L97" s="2104"/>
      <c r="M97" s="2104"/>
      <c r="N97" s="2104"/>
      <c r="O97" s="2104" t="s">
        <v>2347</v>
      </c>
      <c r="P97" s="2104"/>
      <c r="Q97" s="2104"/>
      <c r="R97" s="2104"/>
      <c r="S97" s="2104"/>
      <c r="T97" s="2104"/>
      <c r="U97" s="2104"/>
      <c r="V97" s="2140" t="s">
        <v>2346</v>
      </c>
      <c r="W97" s="2140"/>
      <c r="X97" s="2140"/>
      <c r="Y97" s="2140"/>
      <c r="Z97" s="2140"/>
      <c r="AA97" s="2140"/>
      <c r="AB97" s="2074" t="s">
        <v>2370</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Queen Apartments GP, LLC (APG Holdings 2, LLC)</v>
      </c>
      <c r="BR97" s="1259">
        <f>Application!AH254</f>
        <v>8.9999999999999993E-3</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6" t="s">
        <v>2369</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2368</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2375</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2367</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HDSI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2372</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2371</v>
      </c>
      <c r="J108" s="2104"/>
      <c r="K108" s="2104"/>
      <c r="L108" s="2104"/>
      <c r="M108" s="2104"/>
      <c r="N108" s="2104"/>
      <c r="O108" s="2104" t="s">
        <v>2347</v>
      </c>
      <c r="P108" s="2104"/>
      <c r="Q108" s="2104"/>
      <c r="R108" s="2104"/>
      <c r="S108" s="2104"/>
      <c r="T108" s="2104"/>
      <c r="U108" s="2104"/>
      <c r="V108" s="2140" t="s">
        <v>2346</v>
      </c>
      <c r="W108" s="2140"/>
      <c r="X108" s="2140"/>
      <c r="Y108" s="2140"/>
      <c r="Z108" s="2140"/>
      <c r="AA108" s="2140"/>
      <c r="AB108" s="2074" t="s">
        <v>2370</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2369</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2368</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2367</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2365</v>
      </c>
      <c r="C117" s="2110"/>
      <c r="D117" s="2110"/>
      <c r="E117" s="2110"/>
      <c r="F117" s="2110"/>
      <c r="G117" s="2110"/>
      <c r="H117" s="2110"/>
      <c r="I117" s="2110"/>
      <c r="J117" s="2110"/>
      <c r="K117" s="2110"/>
      <c r="L117" s="2110"/>
      <c r="M117" s="2110"/>
      <c r="N117" s="2110"/>
      <c r="O117" s="2110"/>
      <c r="P117" s="2110"/>
      <c r="Q117" s="2110"/>
      <c r="R117" s="2110"/>
      <c r="S117" s="2110"/>
      <c r="T117" s="2110"/>
      <c r="U117" s="2113" t="s">
        <v>546</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2365</v>
      </c>
      <c r="C121" s="2118"/>
      <c r="D121" s="2118"/>
      <c r="E121" s="2118"/>
      <c r="F121" s="2118"/>
      <c r="G121" s="2118"/>
      <c r="H121" s="2118"/>
      <c r="I121" s="2118"/>
      <c r="J121" s="2118"/>
      <c r="K121" s="2118"/>
      <c r="L121" s="2118"/>
      <c r="M121" s="2118"/>
      <c r="N121" s="2118"/>
      <c r="O121" s="2118"/>
      <c r="P121" s="2118"/>
      <c r="Q121" s="2118"/>
      <c r="R121" s="2118"/>
      <c r="S121" s="2118"/>
      <c r="T121" s="2118"/>
      <c r="U121" s="2121" t="s">
        <v>546</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2363</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2362</v>
      </c>
      <c r="J127" s="2104"/>
      <c r="K127" s="2104"/>
      <c r="L127" s="2104"/>
      <c r="M127" s="2104"/>
      <c r="N127" s="2104"/>
      <c r="O127" s="2105" t="s">
        <v>2361</v>
      </c>
      <c r="P127" s="2105"/>
      <c r="Q127" s="2105"/>
      <c r="R127" s="2105"/>
      <c r="S127" s="2105"/>
      <c r="T127" s="2105"/>
      <c r="U127" s="2106"/>
      <c r="V127" s="1190"/>
      <c r="W127" s="1190"/>
      <c r="X127" s="2044" t="s">
        <v>2331</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2345</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2344</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2359</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2347</v>
      </c>
      <c r="J134" s="2079"/>
      <c r="K134" s="2079"/>
      <c r="L134" s="2079"/>
      <c r="M134" s="2079"/>
      <c r="N134" s="2079"/>
      <c r="O134" s="2079"/>
      <c r="P134" s="2079" t="s">
        <v>2346</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2345</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2344</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2358</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546</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2357</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2356</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546</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2355</v>
      </c>
      <c r="C142" s="2087"/>
      <c r="D142" s="2087"/>
      <c r="E142" s="2087"/>
      <c r="F142" s="2087"/>
      <c r="G142" s="2087"/>
      <c r="H142" s="2087"/>
      <c r="I142" s="2087"/>
      <c r="J142" s="2087"/>
      <c r="K142" s="2087"/>
      <c r="L142" s="2087"/>
      <c r="M142" s="2087"/>
      <c r="N142" s="2087"/>
      <c r="O142" s="2087"/>
      <c r="P142" s="2087"/>
      <c r="Q142" s="2087"/>
      <c r="R142" s="2088" t="s">
        <v>2354</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250</v>
      </c>
      <c r="BD142" s="1190"/>
      <c r="BE142" s="1194"/>
    </row>
    <row r="143" spans="1:57" ht="15.75" customHeight="1">
      <c r="A143" s="1190"/>
      <c r="B143" s="2090" t="s">
        <v>2353</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2350</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2349</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2347</v>
      </c>
      <c r="J157" s="2079"/>
      <c r="K157" s="2079"/>
      <c r="L157" s="2079"/>
      <c r="M157" s="2079"/>
      <c r="N157" s="2079"/>
      <c r="O157" s="2079"/>
      <c r="P157" s="2079" t="s">
        <v>2348</v>
      </c>
      <c r="Q157" s="2079"/>
      <c r="R157" s="2079"/>
      <c r="S157" s="2079"/>
      <c r="T157" s="2079"/>
      <c r="U157" s="2080"/>
      <c r="V157" s="1190"/>
      <c r="W157" s="1190"/>
      <c r="X157" s="2041"/>
      <c r="Y157" s="2042"/>
      <c r="Z157" s="2042"/>
      <c r="AA157" s="2042"/>
      <c r="AB157" s="2042"/>
      <c r="AC157" s="2042"/>
      <c r="AD157" s="2042"/>
      <c r="AE157" s="2079" t="s">
        <v>2347</v>
      </c>
      <c r="AF157" s="2079"/>
      <c r="AG157" s="2079"/>
      <c r="AH157" s="2079"/>
      <c r="AI157" s="2079"/>
      <c r="AJ157" s="2079"/>
      <c r="AK157" s="2079"/>
      <c r="AL157" s="2079" t="s">
        <v>2346</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2345</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2345</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2344</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2343</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2328</v>
      </c>
      <c r="D163" s="2042"/>
      <c r="E163" s="2042"/>
      <c r="F163" s="2042"/>
      <c r="G163" s="2042"/>
      <c r="H163" s="2042"/>
      <c r="I163" s="2042"/>
      <c r="J163" s="2042"/>
      <c r="K163" s="2042"/>
      <c r="L163" s="2042"/>
      <c r="M163" s="2042"/>
      <c r="N163" s="2042"/>
      <c r="O163" s="2042"/>
      <c r="P163" s="2042"/>
      <c r="Q163" s="2042" t="s">
        <v>2342</v>
      </c>
      <c r="R163" s="2042"/>
      <c r="S163" s="2042"/>
      <c r="T163" s="2074" t="s">
        <v>2341</v>
      </c>
      <c r="U163" s="2074"/>
      <c r="V163" s="2074"/>
      <c r="W163" s="2074"/>
      <c r="X163" s="2074"/>
      <c r="Y163" s="2074"/>
      <c r="Z163" s="2074"/>
      <c r="AA163" s="2074"/>
      <c r="AB163" s="2042" t="s">
        <v>2340</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2339</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2338</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2337</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2336</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170</v>
      </c>
      <c r="D168" s="2057"/>
      <c r="E168" s="2057"/>
      <c r="F168" s="2058" t="s">
        <v>2317</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170</v>
      </c>
      <c r="D169" s="2057"/>
      <c r="E169" s="2057"/>
      <c r="F169" s="2058" t="s">
        <v>2317</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170</v>
      </c>
      <c r="D170" s="2063"/>
      <c r="E170" s="2063"/>
      <c r="F170" s="2064" t="s">
        <v>2317</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2335</v>
      </c>
      <c r="D172" s="2028"/>
      <c r="E172" s="2028"/>
      <c r="F172" s="2028"/>
      <c r="G172" s="2028"/>
      <c r="H172" s="2028"/>
      <c r="I172" s="2028"/>
      <c r="J172" s="2028"/>
      <c r="K172" s="2028"/>
      <c r="L172" s="2028"/>
      <c r="M172" s="2028"/>
      <c r="N172" s="2037"/>
      <c r="O172" s="1190"/>
      <c r="P172" s="2038" t="s">
        <v>2334</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2333</v>
      </c>
      <c r="D173" s="2042"/>
      <c r="E173" s="2042"/>
      <c r="F173" s="2042"/>
      <c r="G173" s="2042"/>
      <c r="H173" s="2042"/>
      <c r="I173" s="2042" t="s">
        <v>2332</v>
      </c>
      <c r="J173" s="2042"/>
      <c r="K173" s="2042"/>
      <c r="L173" s="2042"/>
      <c r="M173" s="2042"/>
      <c r="N173" s="2043"/>
      <c r="O173" s="1190"/>
      <c r="P173" s="2044" t="s">
        <v>2331</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2330</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2328</v>
      </c>
      <c r="D184" s="2028"/>
      <c r="E184" s="2028"/>
      <c r="F184" s="2028"/>
      <c r="G184" s="2028"/>
      <c r="H184" s="2028"/>
      <c r="I184" s="2028"/>
      <c r="J184" s="2028"/>
      <c r="K184" s="2028"/>
      <c r="L184" s="2028"/>
      <c r="M184" s="2028"/>
      <c r="N184" s="2028" t="s">
        <v>2329</v>
      </c>
      <c r="O184" s="2028"/>
      <c r="P184" s="2028"/>
      <c r="Q184" s="2028"/>
      <c r="R184" s="2028"/>
      <c r="S184" s="2028"/>
      <c r="T184" s="2028"/>
      <c r="U184" s="2029" t="s">
        <v>2328</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2327</v>
      </c>
      <c r="D185" s="2007"/>
      <c r="E185" s="2007"/>
      <c r="F185" s="2007"/>
      <c r="G185" s="2007"/>
      <c r="H185" s="2007"/>
      <c r="I185" s="2007"/>
      <c r="J185" s="2007"/>
      <c r="K185" s="2007"/>
      <c r="L185" s="2007"/>
      <c r="M185" s="2007"/>
      <c r="N185" s="2017">
        <f>'Sources and Uses Budget'!B105</f>
        <v>41608812</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2326</v>
      </c>
      <c r="D186" s="2007"/>
      <c r="E186" s="2007"/>
      <c r="F186" s="2007"/>
      <c r="G186" s="2007"/>
      <c r="H186" s="2007"/>
      <c r="I186" s="2007"/>
      <c r="J186" s="2007"/>
      <c r="K186" s="2007"/>
      <c r="L186" s="2007"/>
      <c r="M186" s="2007"/>
      <c r="N186" s="2017">
        <f>N185/J29</f>
        <v>447406.58064516127</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2325</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2324</v>
      </c>
      <c r="D188" s="2007"/>
      <c r="E188" s="2007"/>
      <c r="F188" s="2007"/>
      <c r="G188" s="2007"/>
      <c r="H188" s="2007"/>
      <c r="I188" s="2007"/>
      <c r="J188" s="2007"/>
      <c r="K188" s="2007"/>
      <c r="L188" s="2007"/>
      <c r="M188" s="2007"/>
      <c r="N188" s="2036">
        <f>SUM('Sources and Uses Budget'!B85:B86)</f>
        <v>100000</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2323</v>
      </c>
      <c r="D189" s="2007"/>
      <c r="E189" s="2007"/>
      <c r="F189" s="2007"/>
      <c r="G189" s="2007"/>
      <c r="H189" s="2007"/>
      <c r="I189" s="2007"/>
      <c r="J189" s="2007"/>
      <c r="K189" s="2007"/>
      <c r="L189" s="2007"/>
      <c r="M189" s="2007"/>
      <c r="N189" s="2036">
        <f>'Sources and Uses Budget'!B8</f>
        <v>2900000</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2321</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2322</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2321</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2320</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2319</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300</v>
      </c>
      <c r="D192" s="1999"/>
      <c r="E192" s="1991" t="s">
        <v>2317</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2318</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300</v>
      </c>
      <c r="D193" s="1990"/>
      <c r="E193" s="1991" t="s">
        <v>2317</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300</v>
      </c>
      <c r="D194" s="1978"/>
      <c r="E194" s="1979" t="s">
        <v>2317</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2316</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2315</v>
      </c>
      <c r="D195" s="1961"/>
      <c r="E195" s="1961"/>
      <c r="F195" s="1961"/>
      <c r="G195" s="1961"/>
      <c r="H195" s="1961"/>
      <c r="I195" s="1961"/>
      <c r="J195" s="1961"/>
      <c r="K195" s="1961"/>
      <c r="L195" s="1961"/>
      <c r="M195" s="1961"/>
      <c r="N195" s="1962">
        <f>SUM(N187:T194)</f>
        <v>3000000</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2314</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2313</v>
      </c>
      <c r="D196" s="1971"/>
      <c r="E196" s="1971"/>
      <c r="F196" s="1971"/>
      <c r="G196" s="1971"/>
      <c r="H196" s="1971"/>
      <c r="I196" s="1971"/>
      <c r="J196" s="1971"/>
      <c r="K196" s="1971"/>
      <c r="L196" s="1971"/>
      <c r="M196" s="1971"/>
      <c r="N196" s="1972">
        <f>(N185-N195)/J29</f>
        <v>415148.51612903224</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2312</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2311</v>
      </c>
      <c r="D200" s="1958"/>
      <c r="E200" s="1958"/>
      <c r="F200" s="1958"/>
      <c r="G200" s="1958"/>
      <c r="H200" s="1958"/>
      <c r="I200" s="1958"/>
      <c r="J200" s="1958"/>
      <c r="K200" s="1958"/>
      <c r="L200" s="1958"/>
      <c r="M200" s="1958"/>
      <c r="N200" s="1958"/>
      <c r="O200" s="1959" t="s">
        <v>2310</v>
      </c>
      <c r="P200" s="1959"/>
      <c r="Q200" s="1959"/>
      <c r="R200" s="1959"/>
      <c r="S200" s="1959"/>
      <c r="T200" s="1959"/>
      <c r="U200" s="1959"/>
      <c r="V200" s="1959"/>
      <c r="W200" s="1959"/>
      <c r="X200" s="1959" t="s">
        <v>2309</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2308</v>
      </c>
      <c r="D201" s="1950"/>
      <c r="E201" s="1950"/>
      <c r="F201" s="1950"/>
      <c r="G201" s="1950"/>
      <c r="H201" s="1950"/>
      <c r="I201" s="1950"/>
      <c r="J201" s="1950"/>
      <c r="K201" s="1950"/>
      <c r="L201" s="1950"/>
      <c r="M201" s="1950"/>
      <c r="N201" s="1950"/>
      <c r="O201" s="1951" t="s">
        <v>2307</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855</v>
      </c>
      <c r="D202" s="1950"/>
      <c r="E202" s="1950"/>
      <c r="F202" s="1950"/>
      <c r="G202" s="1950"/>
      <c r="H202" s="1950"/>
      <c r="I202" s="1950"/>
      <c r="J202" s="1950"/>
      <c r="K202" s="1950"/>
      <c r="L202" s="1950"/>
      <c r="M202" s="1950"/>
      <c r="N202" s="1950"/>
      <c r="O202" s="1951" t="s">
        <v>2307</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2306</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2305</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2304</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2303</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2302</v>
      </c>
      <c r="D207" s="1929"/>
      <c r="E207" s="1929"/>
      <c r="F207" s="1930"/>
      <c r="G207" s="1934" t="s">
        <v>2301</v>
      </c>
      <c r="H207" s="1929"/>
      <c r="I207" s="1929"/>
      <c r="J207" s="1929"/>
      <c r="K207" s="1929"/>
      <c r="L207" s="1929"/>
      <c r="M207" s="1929"/>
      <c r="N207" s="1929"/>
      <c r="O207" s="1930"/>
      <c r="P207" s="1936" t="s">
        <v>2300</v>
      </c>
      <c r="Q207" s="1937"/>
      <c r="R207" s="1937"/>
      <c r="S207" s="1937"/>
      <c r="T207" s="1938"/>
      <c r="U207" s="1942" t="s">
        <v>2299</v>
      </c>
      <c r="V207" s="1943"/>
      <c r="W207" s="1943"/>
      <c r="X207" s="1944"/>
      <c r="Y207" s="1942" t="s">
        <v>2298</v>
      </c>
      <c r="Z207" s="1943"/>
      <c r="AA207" s="1943"/>
      <c r="AB207" s="1944"/>
      <c r="AC207" s="1942" t="s">
        <v>2297</v>
      </c>
      <c r="AD207" s="1943"/>
      <c r="AE207" s="1943"/>
      <c r="AF207" s="1944"/>
      <c r="AG207" s="1934" t="s">
        <v>2296</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1885</v>
      </c>
      <c r="H209" s="1919"/>
      <c r="I209" s="1919"/>
      <c r="J209" s="1919"/>
      <c r="K209" s="1919"/>
      <c r="L209" s="1919"/>
      <c r="M209" s="1919"/>
      <c r="N209" s="1919"/>
      <c r="O209" s="1919"/>
      <c r="P209" s="1920"/>
      <c r="Q209" s="1923"/>
      <c r="R209" s="1923"/>
      <c r="S209" s="1923"/>
      <c r="T209" s="1923"/>
      <c r="U209" s="1921" t="s">
        <v>1885</v>
      </c>
      <c r="V209" s="1921"/>
      <c r="W209" s="1921"/>
      <c r="X209" s="1921"/>
      <c r="Y209" s="1921" t="s">
        <v>1885</v>
      </c>
      <c r="Z209" s="1921"/>
      <c r="AA209" s="1921"/>
      <c r="AB209" s="1921"/>
      <c r="AC209" s="1922" t="s">
        <v>1885</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1885</v>
      </c>
      <c r="H210" s="1919"/>
      <c r="I210" s="1919"/>
      <c r="J210" s="1919"/>
      <c r="K210" s="1919"/>
      <c r="L210" s="1919"/>
      <c r="M210" s="1919"/>
      <c r="N210" s="1919"/>
      <c r="O210" s="1919"/>
      <c r="P210" s="1920"/>
      <c r="Q210" s="1920"/>
      <c r="R210" s="1920"/>
      <c r="S210" s="1920"/>
      <c r="T210" s="1920"/>
      <c r="U210" s="1921" t="s">
        <v>1885</v>
      </c>
      <c r="V210" s="1921"/>
      <c r="W210" s="1921"/>
      <c r="X210" s="1921"/>
      <c r="Y210" s="1921" t="s">
        <v>1885</v>
      </c>
      <c r="Z210" s="1921"/>
      <c r="AA210" s="1921"/>
      <c r="AB210" s="1921"/>
      <c r="AC210" s="1922" t="s">
        <v>1885</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1885</v>
      </c>
      <c r="H211" s="1919"/>
      <c r="I211" s="1919"/>
      <c r="J211" s="1919"/>
      <c r="K211" s="1919"/>
      <c r="L211" s="1919"/>
      <c r="M211" s="1919"/>
      <c r="N211" s="1919"/>
      <c r="O211" s="1919"/>
      <c r="P211" s="1920"/>
      <c r="Q211" s="1920"/>
      <c r="R211" s="1920"/>
      <c r="S211" s="1920"/>
      <c r="T211" s="1920"/>
      <c r="U211" s="1921" t="s">
        <v>1885</v>
      </c>
      <c r="V211" s="1921"/>
      <c r="W211" s="1921"/>
      <c r="X211" s="1921"/>
      <c r="Y211" s="1921" t="s">
        <v>1885</v>
      </c>
      <c r="Z211" s="1921"/>
      <c r="AA211" s="1921"/>
      <c r="AB211" s="1921"/>
      <c r="AC211" s="1922" t="s">
        <v>1885</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1885</v>
      </c>
      <c r="H212" s="1919"/>
      <c r="I212" s="1919"/>
      <c r="J212" s="1919"/>
      <c r="K212" s="1919"/>
      <c r="L212" s="1919"/>
      <c r="M212" s="1919"/>
      <c r="N212" s="1919"/>
      <c r="O212" s="1919"/>
      <c r="P212" s="1920"/>
      <c r="Q212" s="1920"/>
      <c r="R212" s="1920"/>
      <c r="S212" s="1920"/>
      <c r="T212" s="1920"/>
      <c r="U212" s="1921" t="s">
        <v>1885</v>
      </c>
      <c r="V212" s="1921"/>
      <c r="W212" s="1921"/>
      <c r="X212" s="1921"/>
      <c r="Y212" s="1921" t="s">
        <v>1885</v>
      </c>
      <c r="Z212" s="1921"/>
      <c r="AA212" s="1921"/>
      <c r="AB212" s="1921"/>
      <c r="AC212" s="1922" t="s">
        <v>1885</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1885</v>
      </c>
      <c r="H213" s="1919"/>
      <c r="I213" s="1919"/>
      <c r="J213" s="1919"/>
      <c r="K213" s="1919"/>
      <c r="L213" s="1919"/>
      <c r="M213" s="1919"/>
      <c r="N213" s="1919"/>
      <c r="O213" s="1919"/>
      <c r="P213" s="1920"/>
      <c r="Q213" s="1920"/>
      <c r="R213" s="1920"/>
      <c r="S213" s="1920"/>
      <c r="T213" s="1920"/>
      <c r="U213" s="1921" t="s">
        <v>1885</v>
      </c>
      <c r="V213" s="1921"/>
      <c r="W213" s="1921"/>
      <c r="X213" s="1921"/>
      <c r="Y213" s="1921" t="s">
        <v>1885</v>
      </c>
      <c r="Z213" s="1921"/>
      <c r="AA213" s="1921"/>
      <c r="AB213" s="1921"/>
      <c r="AC213" s="1922" t="s">
        <v>1885</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1885</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1885</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1885</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2295</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2293</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2292</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2291</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2290</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2288</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2287</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2286</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2285</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2284</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442</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2283</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2282</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1" sqref="AB51"/>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77" t="s">
        <v>1281</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1239</v>
      </c>
    </row>
    <row r="7" spans="1:40" ht="12.9"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15828749</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19215000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 customHeight="1">
      <c r="B12" s="2381" t="s">
        <v>498</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 customHeight="1">
      <c r="B13" s="435"/>
      <c r="C13" s="2383" t="s">
        <v>499</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 customHeight="1">
      <c r="B14" s="435"/>
      <c r="C14" s="2383" t="s">
        <v>500</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 customHeight="1">
      <c r="B15" s="435"/>
      <c r="C15" s="2383" t="s">
        <v>501</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 customHeight="1">
      <c r="B16" s="435"/>
      <c r="C16" s="2383" t="s">
        <v>806</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 customHeight="1">
      <c r="B17" s="435"/>
      <c r="C17" s="2383" t="s">
        <v>502</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 customHeight="1">
      <c r="A18"/>
      <c r="B18" s="1150"/>
      <c r="C18" s="1564" t="s">
        <v>961</v>
      </c>
      <c r="D18" s="1564"/>
      <c r="E18" s="1564"/>
      <c r="F18" s="1564"/>
      <c r="G18" s="1564"/>
      <c r="H18" s="1564"/>
      <c r="I18" s="1564"/>
      <c r="J18" s="1564"/>
      <c r="K18" s="1564"/>
      <c r="L18" s="1564"/>
      <c r="M18" s="1564"/>
      <c r="N18" s="1564"/>
      <c r="O18" s="1564"/>
      <c r="P18" s="1564"/>
      <c r="Q18" s="1564"/>
      <c r="R18" s="1564"/>
      <c r="S18" s="1565"/>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 customHeight="1">
      <c r="B19" s="1150"/>
      <c r="C19" s="1564" t="s">
        <v>961</v>
      </c>
      <c r="D19" s="1564"/>
      <c r="E19" s="1564"/>
      <c r="F19" s="1564"/>
      <c r="G19" s="1564"/>
      <c r="H19" s="1564"/>
      <c r="I19" s="1564"/>
      <c r="J19" s="1564"/>
      <c r="K19" s="1564"/>
      <c r="L19" s="1564"/>
      <c r="M19" s="1564"/>
      <c r="N19" s="1564"/>
      <c r="O19" s="1564"/>
      <c r="P19" s="1564"/>
      <c r="Q19" s="1564"/>
      <c r="R19" s="1564"/>
      <c r="S19" s="1565"/>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 customHeight="1">
      <c r="B20" s="2343" t="s">
        <v>503</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 customHeight="1">
      <c r="B21" s="2343" t="s">
        <v>1264</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 customHeight="1">
      <c r="B22" s="2343" t="s">
        <v>504</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 customHeight="1">
      <c r="B23" s="2343" t="s">
        <v>505</v>
      </c>
      <c r="C23" s="2344"/>
      <c r="D23" s="2344"/>
      <c r="E23" s="2344"/>
      <c r="F23" s="2344"/>
      <c r="G23" s="2344"/>
      <c r="H23" s="2344"/>
      <c r="I23" s="2344"/>
      <c r="J23" s="2344"/>
      <c r="K23" s="2344"/>
      <c r="L23" s="2344"/>
      <c r="M23" s="2344"/>
      <c r="N23" s="2344"/>
      <c r="O23" s="2344"/>
      <c r="P23" s="2344"/>
      <c r="Q23" s="2344"/>
      <c r="R23" s="2344"/>
      <c r="S23" s="2345"/>
      <c r="T23" s="2356">
        <f>T11+T22</f>
        <v>15828749</v>
      </c>
      <c r="U23" s="2337"/>
      <c r="V23" s="2337"/>
      <c r="W23" s="2337"/>
      <c r="X23" s="2337"/>
      <c r="Y23" s="2356">
        <f>Y11+Y22</f>
        <v>0</v>
      </c>
      <c r="Z23" s="2337"/>
      <c r="AA23" s="2337"/>
      <c r="AB23" s="2337"/>
      <c r="AC23" s="2337"/>
      <c r="AD23" s="2356">
        <f>AD11+AD22</f>
        <v>19215000</v>
      </c>
      <c r="AE23" s="2337"/>
      <c r="AF23" s="2337"/>
      <c r="AG23" s="2337"/>
      <c r="AH23" s="2337"/>
      <c r="AI23" s="2356">
        <f>AI11+AI22</f>
        <v>0</v>
      </c>
      <c r="AJ23" s="2337"/>
      <c r="AK23" s="2337"/>
      <c r="AL23" s="2337"/>
      <c r="AM23" s="2337"/>
    </row>
    <row r="24" spans="1:40" ht="12.9" customHeight="1">
      <c r="B24" s="2343" t="s">
        <v>962</v>
      </c>
      <c r="C24" s="2344"/>
      <c r="D24" s="2344"/>
      <c r="E24" s="2344"/>
      <c r="F24" s="2344"/>
      <c r="G24" s="2344"/>
      <c r="H24" s="2344"/>
      <c r="I24" s="2344"/>
      <c r="J24" s="2344"/>
      <c r="K24" s="2344"/>
      <c r="L24" s="2344"/>
      <c r="M24" s="2344"/>
      <c r="N24" s="2344"/>
      <c r="O24" s="2344"/>
      <c r="P24" s="2344"/>
      <c r="Q24" s="2344"/>
      <c r="R24" s="2344"/>
      <c r="S24" s="2345"/>
      <c r="T24" s="2347">
        <f>Application!AJ1053</f>
        <v>71721672.959999993</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 customHeight="1">
      <c r="B25" s="2387" t="s">
        <v>1265</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 customHeight="1">
      <c r="B26" s="2343" t="s">
        <v>506</v>
      </c>
      <c r="C26" s="2344"/>
      <c r="D26" s="2344"/>
      <c r="E26" s="2344"/>
      <c r="F26" s="2344"/>
      <c r="G26" s="2344"/>
      <c r="H26" s="2344"/>
      <c r="I26" s="2344"/>
      <c r="J26" s="2344"/>
      <c r="K26" s="2344"/>
      <c r="L26" s="2344"/>
      <c r="M26" s="2344"/>
      <c r="N26" s="2344"/>
      <c r="O26" s="2344"/>
      <c r="P26" s="2344"/>
      <c r="Q26" s="2344"/>
      <c r="R26" s="2344"/>
      <c r="S26" s="2345"/>
      <c r="T26" s="2356">
        <f>T23*T25</f>
        <v>20577373.699999999</v>
      </c>
      <c r="U26" s="2337"/>
      <c r="V26" s="2337"/>
      <c r="W26" s="2337"/>
      <c r="X26" s="2337"/>
      <c r="Y26" s="2356">
        <f>Y23*Y25</f>
        <v>0</v>
      </c>
      <c r="Z26" s="2337"/>
      <c r="AA26" s="2337"/>
      <c r="AB26" s="2337"/>
      <c r="AC26" s="2337"/>
      <c r="AD26" s="2356">
        <f>AD23*AD25</f>
        <v>19215000</v>
      </c>
      <c r="AE26" s="2337"/>
      <c r="AF26" s="2337"/>
      <c r="AG26" s="2337"/>
      <c r="AH26" s="2337"/>
      <c r="AI26" s="2356">
        <f>AI23*AI25</f>
        <v>0</v>
      </c>
      <c r="AJ26" s="2337"/>
      <c r="AK26" s="2337"/>
      <c r="AL26" s="2337"/>
      <c r="AM26" s="2337"/>
    </row>
    <row r="27" spans="1:40" ht="12.9"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 customHeight="1">
      <c r="A28" s="404"/>
      <c r="B28" s="2343" t="s">
        <v>507</v>
      </c>
      <c r="C28" s="2344"/>
      <c r="D28" s="2344"/>
      <c r="E28" s="2344"/>
      <c r="F28" s="2344"/>
      <c r="G28" s="2344"/>
      <c r="H28" s="2344"/>
      <c r="I28" s="2344"/>
      <c r="J28" s="2344"/>
      <c r="K28" s="2344"/>
      <c r="L28" s="2344"/>
      <c r="M28" s="2344"/>
      <c r="N28" s="2344"/>
      <c r="O28" s="2344"/>
      <c r="P28" s="2344"/>
      <c r="Q28" s="2344"/>
      <c r="R28" s="2344"/>
      <c r="S28" s="2345"/>
      <c r="T28" s="2356">
        <f>IF(ISERROR((T26*T27)),0,(T26*T27))</f>
        <v>20577373.699999999</v>
      </c>
      <c r="U28" s="2337"/>
      <c r="V28" s="2337"/>
      <c r="W28" s="2337"/>
      <c r="X28" s="2337"/>
      <c r="Y28" s="2356">
        <f>IF(ISERROR((Y26*Y27)),0,(Y26*Y27))</f>
        <v>0</v>
      </c>
      <c r="Z28" s="2337"/>
      <c r="AA28" s="2337"/>
      <c r="AB28" s="2337"/>
      <c r="AC28" s="2337"/>
      <c r="AD28" s="2356">
        <f>IF(ISERROR((AD26*AD27)),0,(AD26*AD27))</f>
        <v>19215000</v>
      </c>
      <c r="AE28" s="2337"/>
      <c r="AF28" s="2337"/>
      <c r="AG28" s="2337"/>
      <c r="AH28" s="2337"/>
      <c r="AI28" s="2356">
        <f>IF(ISERROR((AI26*AI27)),0,(AI26*AI27))</f>
        <v>0</v>
      </c>
      <c r="AJ28" s="2337"/>
      <c r="AK28" s="2337"/>
      <c r="AL28" s="2337"/>
      <c r="AM28" s="2337"/>
    </row>
    <row r="29" spans="1:40" ht="12.9" customHeight="1">
      <c r="B29" s="2343" t="s">
        <v>524</v>
      </c>
      <c r="C29" s="2344"/>
      <c r="D29" s="2344"/>
      <c r="E29" s="2344"/>
      <c r="F29" s="2344"/>
      <c r="G29" s="2344"/>
      <c r="H29" s="2344"/>
      <c r="I29" s="2344"/>
      <c r="J29" s="2344"/>
      <c r="K29" s="2344"/>
      <c r="L29" s="2344"/>
      <c r="M29" s="2344"/>
      <c r="N29" s="2344"/>
      <c r="O29" s="2344"/>
      <c r="P29" s="2344"/>
      <c r="Q29" s="2344"/>
      <c r="R29" s="2344"/>
      <c r="S29" s="2345"/>
      <c r="T29" s="2347">
        <f>T28+Y28+AD28+AI28</f>
        <v>39792373.700000003</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 customHeight="1">
      <c r="B30" s="2360" t="s">
        <v>1267</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 customHeight="1">
      <c r="B31" s="2360" t="s">
        <v>1266</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1155</v>
      </c>
      <c r="Z35" s="2357"/>
      <c r="AA35" s="2357"/>
      <c r="AB35" s="2357"/>
      <c r="AC35" s="2357"/>
      <c r="AD35" s="2358" t="s">
        <v>369</v>
      </c>
      <c r="AE35" s="2358"/>
      <c r="AF35" s="2358"/>
      <c r="AG35" s="2358"/>
      <c r="AH35" s="2358"/>
    </row>
    <row r="36" spans="1:76" ht="12.9" customHeight="1">
      <c r="B36" s="407"/>
      <c r="X36" s="412"/>
      <c r="Y36" s="2357"/>
      <c r="Z36" s="2357"/>
      <c r="AA36" s="2357"/>
      <c r="AB36" s="2357"/>
      <c r="AC36" s="2357"/>
      <c r="AD36" s="2358"/>
      <c r="AE36" s="2358"/>
      <c r="AF36" s="2358"/>
      <c r="AG36" s="2358"/>
      <c r="AH36" s="235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 customHeight="1">
      <c r="A38" s="404"/>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20577373.699999999</v>
      </c>
      <c r="Z38" s="2337"/>
      <c r="AA38" s="2337"/>
      <c r="AB38" s="2337"/>
      <c r="AC38" s="2337"/>
      <c r="AD38" s="2337">
        <f>IF(T24&gt;=(T23+Y23+AD23+AI23),AD28+AI28,0)</f>
        <v>19215000</v>
      </c>
      <c r="AE38" s="2337"/>
      <c r="AF38" s="2337"/>
      <c r="AG38" s="2337"/>
      <c r="AH38" s="2337"/>
    </row>
    <row r="39" spans="1:76" ht="12.9" customHeight="1">
      <c r="B39" s="2343" t="s">
        <v>1692</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 customHeight="1">
      <c r="A40" s="404"/>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823095</v>
      </c>
      <c r="Z40" s="2337"/>
      <c r="AA40" s="2337"/>
      <c r="AB40" s="2337"/>
      <c r="AC40" s="2337"/>
      <c r="AD40" s="2356">
        <f>ROUND(AD38*AD39,0)</f>
        <v>768600</v>
      </c>
      <c r="AE40" s="2337"/>
      <c r="AF40" s="2337"/>
      <c r="AG40" s="2337"/>
      <c r="AH40" s="2337"/>
    </row>
    <row r="41" spans="1:76" ht="12.9"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1591695</v>
      </c>
      <c r="Z41" s="2355"/>
      <c r="AA41" s="2355"/>
      <c r="AB41" s="2355"/>
      <c r="AC41" s="2355"/>
      <c r="AD41" s="2355"/>
      <c r="AE41" s="2355"/>
      <c r="AF41" s="2355"/>
      <c r="AG41" s="2355"/>
      <c r="AH41" s="2356"/>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4" t="s">
        <v>1277</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 customHeight="1" thickTop="1"/>
    <row r="46" spans="1:76" ht="12.9" customHeight="1">
      <c r="A46" s="404" t="s">
        <v>587</v>
      </c>
      <c r="C46" s="404" t="s">
        <v>282</v>
      </c>
    </row>
    <row r="47" spans="1:76" ht="12.9" customHeight="1">
      <c r="D47" s="404" t="s">
        <v>283</v>
      </c>
      <c r="AB47" s="2351">
        <f>'Sources and Uses Budget'!B105-MAX(IF('Sources and Uses Budget'!B15="",0,'Sources and Uses Budget'!B15),IF(Application!AG394="",0,Application!AG394))</f>
        <v>41608812</v>
      </c>
      <c r="AC47" s="2352"/>
      <c r="AD47" s="2352"/>
      <c r="AE47" s="2352"/>
      <c r="AF47" s="2353"/>
    </row>
    <row r="48" spans="1:76" ht="12.9" customHeight="1">
      <c r="D48" s="404" t="s">
        <v>21</v>
      </c>
      <c r="AB48" s="2351">
        <f>Application!AO639-MAX(IF('Sources and Uses Budget'!B15="",0,'Sources and Uses Budget'!B15),IF(Application!AG394="",0,Application!AG394))</f>
        <v>28080758</v>
      </c>
      <c r="AC48" s="2352"/>
      <c r="AD48" s="2352"/>
      <c r="AE48" s="2352"/>
      <c r="AF48" s="2353"/>
    </row>
    <row r="49" spans="1:76" ht="12.9" customHeight="1">
      <c r="D49" s="404" t="s">
        <v>91</v>
      </c>
      <c r="AB49" s="2351">
        <f>AB47-AB48</f>
        <v>13528054</v>
      </c>
      <c r="AC49" s="2352"/>
      <c r="AD49" s="2352"/>
      <c r="AE49" s="2352"/>
      <c r="AF49" s="2353"/>
    </row>
    <row r="50" spans="1:76" ht="12.9" customHeight="1">
      <c r="D50" s="404" t="s">
        <v>682</v>
      </c>
      <c r="AA50" s="415"/>
      <c r="AB50" s="2339">
        <v>0.85</v>
      </c>
      <c r="AC50" s="2340"/>
      <c r="AD50" s="2340"/>
      <c r="AE50" s="2340"/>
      <c r="AF50" s="2341"/>
    </row>
    <row r="51" spans="1:76" s="417" customFormat="1" ht="12.9" customHeight="1">
      <c r="A51" s="402"/>
      <c r="B51" s="402"/>
      <c r="C51" s="402"/>
      <c r="D51" s="402"/>
      <c r="E51" s="2350" t="s">
        <v>2612</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51">
        <f>ROUND(IF(ISERROR((AB49/AB50)),0,(AB49/AB50)),0)</f>
        <v>15915358</v>
      </c>
      <c r="AC54" s="2352"/>
      <c r="AD54" s="2352"/>
      <c r="AE54" s="2352"/>
      <c r="AF54" s="2353"/>
    </row>
    <row r="55" spans="1:76" ht="12.9" customHeight="1">
      <c r="D55" s="404" t="s">
        <v>333</v>
      </c>
      <c r="AB55" s="2351">
        <f>(AB54/10)</f>
        <v>1591535.8</v>
      </c>
      <c r="AC55" s="2352"/>
      <c r="AD55" s="2352"/>
      <c r="AE55" s="2352"/>
      <c r="AF55" s="2353"/>
    </row>
    <row r="56" spans="1:76" ht="12.9" customHeight="1">
      <c r="D56" s="404" t="s">
        <v>757</v>
      </c>
      <c r="AB56" s="2351">
        <f>ROUND((IF((Y41&lt;AB55),Y41,AB55)),0)</f>
        <v>1591536</v>
      </c>
      <c r="AC56" s="2352"/>
      <c r="AD56" s="2352"/>
      <c r="AE56" s="2352"/>
      <c r="AF56" s="2353"/>
    </row>
    <row r="57" spans="1:76" ht="12.9" customHeight="1">
      <c r="D57" s="404" t="s">
        <v>756</v>
      </c>
      <c r="AB57" s="2351">
        <f>ROUND((10*AB56*AB50),0)</f>
        <v>13528056</v>
      </c>
      <c r="AC57" s="2352"/>
      <c r="AD57" s="2352"/>
      <c r="AE57" s="2352"/>
      <c r="AF57" s="2353"/>
    </row>
    <row r="58" spans="1:76" ht="12.9" customHeight="1">
      <c r="D58" s="404"/>
      <c r="AB58" s="423"/>
      <c r="AC58" s="423"/>
      <c r="AD58" s="423"/>
      <c r="AE58" s="423"/>
      <c r="AF58" s="423"/>
    </row>
    <row r="59" spans="1:76" ht="12.9" customHeight="1">
      <c r="D59" s="404" t="s">
        <v>755</v>
      </c>
      <c r="AB59" s="2335">
        <f>AB49-AB57</f>
        <v>-2</v>
      </c>
      <c r="AC59" s="2335"/>
      <c r="AD59" s="2335"/>
      <c r="AE59" s="2335"/>
      <c r="AF59" s="2335"/>
    </row>
    <row r="60" spans="1:76" ht="12.9" customHeight="1">
      <c r="D60" s="404"/>
      <c r="AB60" s="423"/>
      <c r="AC60" s="423"/>
      <c r="AD60" s="423"/>
      <c r="AE60" s="423"/>
      <c r="AF60" s="423"/>
    </row>
    <row r="61" spans="1:76" s="204" customFormat="1" ht="12.9"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 customHeight="1" thickTop="1"/>
    <row r="63" spans="1:76" ht="12.9" customHeight="1">
      <c r="A63" s="404" t="s">
        <v>590</v>
      </c>
      <c r="C63" s="205" t="s">
        <v>1249</v>
      </c>
      <c r="Y63" s="2346" t="s">
        <v>985</v>
      </c>
      <c r="Z63" s="2346"/>
      <c r="AA63" s="2346"/>
      <c r="AB63" s="2346"/>
      <c r="AC63" s="2346"/>
      <c r="AD63" s="2346" t="s">
        <v>369</v>
      </c>
      <c r="AE63" s="2346"/>
      <c r="AF63" s="2346"/>
      <c r="AG63" s="2346"/>
      <c r="AH63" s="2346"/>
    </row>
    <row r="64" spans="1:76" ht="12.9"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Needs"),Application!M358="yes"),AD28+AI28,0)</f>
        <v>0</v>
      </c>
      <c r="AE64" s="2348"/>
      <c r="AF64" s="2348"/>
      <c r="AG64" s="2348"/>
      <c r="AH64" s="2349"/>
    </row>
    <row r="65" spans="1:36" ht="12.9"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System'!B13="Yes"),0.13,0))</f>
        <v>0</v>
      </c>
      <c r="AE67" s="2336"/>
      <c r="AF67" s="2336"/>
      <c r="AG67" s="2336"/>
      <c r="AH67" s="2336"/>
    </row>
    <row r="68" spans="1:36" ht="12.9" customHeight="1">
      <c r="C68" s="404"/>
      <c r="D68" s="205" t="s">
        <v>2225</v>
      </c>
      <c r="Y68" s="2337">
        <f>ROUND(Y64*Y67,0)</f>
        <v>0</v>
      </c>
      <c r="Z68" s="2338"/>
      <c r="AA68" s="2338"/>
      <c r="AB68" s="2338"/>
      <c r="AC68" s="2338"/>
      <c r="AD68" s="2337">
        <f>ROUND(AD64*AD67,0)</f>
        <v>0</v>
      </c>
      <c r="AE68" s="2338"/>
      <c r="AF68" s="2338"/>
      <c r="AG68" s="2338"/>
      <c r="AH68" s="2338"/>
    </row>
    <row r="69" spans="1:36" ht="12.9" customHeight="1">
      <c r="C69" s="404"/>
      <c r="D69" s="205" t="s">
        <v>2226</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1251</v>
      </c>
      <c r="AB72" s="2339"/>
      <c r="AC72" s="2340"/>
      <c r="AD72" s="2340"/>
      <c r="AE72" s="2340"/>
      <c r="AF72" s="2341"/>
    </row>
    <row r="73" spans="1:36" ht="12.9" customHeight="1">
      <c r="A73" s="404"/>
      <c r="C73" s="404"/>
      <c r="D73" s="404"/>
      <c r="E73" s="2342" t="s">
        <v>1252</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1253</v>
      </c>
      <c r="AB77" s="2330">
        <f>ROUND(IF(ISERROR((AB59/AB72)),0,(AB59/AB72)),0)</f>
        <v>0</v>
      </c>
      <c r="AC77" s="2330"/>
      <c r="AD77" s="2330"/>
      <c r="AE77" s="2330"/>
      <c r="AF77" s="2330"/>
    </row>
    <row r="78" spans="1:36" ht="12.9" customHeight="1">
      <c r="C78" s="404"/>
      <c r="D78" s="205" t="s">
        <v>1254</v>
      </c>
      <c r="AB78" s="2331">
        <f>ROUNDUP(MIN(Y69,AB77),0)</f>
        <v>0</v>
      </c>
      <c r="AC78" s="2332"/>
      <c r="AD78" s="2332"/>
      <c r="AE78" s="2332"/>
      <c r="AF78" s="2333"/>
    </row>
    <row r="79" spans="1:36" ht="12.9" customHeight="1">
      <c r="C79" s="404"/>
      <c r="D79" s="205" t="s">
        <v>1255</v>
      </c>
      <c r="AB79" s="2334">
        <f>AB78*AB72</f>
        <v>0</v>
      </c>
      <c r="AC79" s="2334"/>
      <c r="AD79" s="2334"/>
      <c r="AE79" s="2334"/>
      <c r="AF79" s="2334"/>
    </row>
    <row r="80" spans="1:36" ht="12.9" customHeight="1">
      <c r="C80" s="404"/>
      <c r="D80" s="404"/>
      <c r="AB80" s="425"/>
      <c r="AC80" s="425"/>
      <c r="AD80" s="425"/>
      <c r="AE80" s="425"/>
      <c r="AF80" s="425"/>
    </row>
    <row r="81" spans="1:78" ht="12.9" customHeight="1">
      <c r="D81" s="404" t="s">
        <v>755</v>
      </c>
      <c r="AB81" s="2335">
        <f>AB49-(AB57+AB79)</f>
        <v>-2</v>
      </c>
      <c r="AC81" s="2335"/>
      <c r="AD81" s="2335"/>
      <c r="AE81" s="2335"/>
      <c r="AF81" s="2335"/>
    </row>
    <row r="82" spans="1:78" ht="12.9" customHeight="1">
      <c r="F82" s="522"/>
      <c r="J82" s="522" t="str">
        <f>IF(AB81&gt;0,"FUNDING GAP MUST NOT EXCEED ZERO","")</f>
        <v/>
      </c>
    </row>
    <row r="83" spans="1:78" ht="12.9" customHeight="1">
      <c r="D83" s="523"/>
    </row>
    <row r="84" spans="1:78" ht="12.9"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 customHeight="1" thickTop="1"/>
    <row r="86" spans="1:78" ht="12.9" customHeight="1">
      <c r="A86" s="404"/>
      <c r="C86" s="205"/>
    </row>
    <row r="87" spans="1:78" ht="12.9" customHeight="1">
      <c r="D87" s="205"/>
      <c r="AB87" s="2386"/>
      <c r="AC87" s="2386"/>
      <c r="AD87" s="2386"/>
      <c r="AE87" s="2386"/>
      <c r="AF87" s="2386"/>
    </row>
    <row r="88" spans="1:78" ht="12.9"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3" workbookViewId="0">
      <selection activeCell="AB241" sqref="AB24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28" t="s">
        <v>1301</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1306</v>
      </c>
      <c r="AF7" s="2409"/>
      <c r="AG7" s="2409"/>
      <c r="AH7" s="2409"/>
      <c r="AI7" s="2409"/>
      <c r="AJ7" s="2409"/>
      <c r="AK7" s="240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592</v>
      </c>
      <c r="C13" s="2399"/>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592</v>
      </c>
      <c r="C16" s="2399"/>
      <c r="D16" s="547"/>
      <c r="E16" s="2410" t="s">
        <v>1308</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592</v>
      </c>
      <c r="C22" s="2399"/>
      <c r="D22" s="547"/>
      <c r="E22" s="2435" t="s">
        <v>1311</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592</v>
      </c>
      <c r="C25" s="2399"/>
      <c r="D25" s="547"/>
      <c r="E25" s="2400" t="s">
        <v>2034</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592</v>
      </c>
      <c r="C28" s="2399"/>
      <c r="D28" s="547"/>
      <c r="E28" s="2423" t="s">
        <v>2249</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399" t="s">
        <v>592</v>
      </c>
      <c r="C33" s="2399"/>
      <c r="D33" s="547"/>
      <c r="E33" s="2435" t="s">
        <v>2251</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592</v>
      </c>
      <c r="C36" s="2399"/>
      <c r="D36" s="547"/>
      <c r="E36" s="2400" t="s">
        <v>2252</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9" t="s">
        <v>592</v>
      </c>
      <c r="C40" s="2399"/>
      <c r="D40" s="547"/>
      <c r="E40" s="2400" t="s">
        <v>2250</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592</v>
      </c>
      <c r="C45" s="2399"/>
      <c r="D45" s="1142"/>
      <c r="E45" s="2400" t="s">
        <v>2009</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546</v>
      </c>
      <c r="C52" s="2399"/>
      <c r="D52" s="540"/>
      <c r="E52" s="2400" t="s">
        <v>2014</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546</v>
      </c>
      <c r="C56" s="2399"/>
      <c r="D56" s="540"/>
      <c r="E56" s="2420" t="s">
        <v>2015</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546</v>
      </c>
      <c r="C58" s="2399"/>
      <c r="D58" s="540"/>
      <c r="E58" s="2400" t="s">
        <v>2016</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2">
        <f>AO39</f>
        <v>20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1315</v>
      </c>
      <c r="AF65" s="2409"/>
      <c r="AG65" s="2409"/>
      <c r="AH65" s="2409"/>
      <c r="AI65" s="2409"/>
      <c r="AJ65" s="2409"/>
      <c r="AK65" s="240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592</v>
      </c>
      <c r="C68" s="2399"/>
      <c r="D68" s="547" t="s">
        <v>1316</v>
      </c>
      <c r="E68" s="2410" t="s">
        <v>2017</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0</v>
      </c>
      <c r="AP71" s="574" t="s">
        <v>1317</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592</v>
      </c>
      <c r="C74" s="2399"/>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592</v>
      </c>
      <c r="F75" s="2399"/>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592</v>
      </c>
      <c r="F76" s="2398"/>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592</v>
      </c>
      <c r="F77" s="2398"/>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592</v>
      </c>
      <c r="F79" s="2399"/>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592</v>
      </c>
      <c r="C81" s="2399"/>
      <c r="D81" s="547" t="s">
        <v>1321</v>
      </c>
      <c r="E81" s="2400" t="s">
        <v>1741</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2">
        <f>IF(AK62&gt;0,0,AO71)</f>
        <v>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1306</v>
      </c>
      <c r="AF87" s="2409"/>
      <c r="AG87" s="2409"/>
      <c r="AH87" s="2409"/>
      <c r="AI87" s="2409"/>
      <c r="AJ87" s="2409"/>
      <c r="AK87" s="240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546</v>
      </c>
      <c r="C90" s="2399"/>
      <c r="D90" s="547" t="s">
        <v>1316</v>
      </c>
      <c r="E90" s="2410" t="s">
        <v>1326</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0.5173913043478261</v>
      </c>
      <c r="F93" s="2394"/>
      <c r="G93" s="2394"/>
      <c r="H93" s="239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7.999999999999996E-2</v>
      </c>
      <c r="F94" s="2396"/>
      <c r="G94" s="2396"/>
      <c r="H94" s="239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15.999999999999993</v>
      </c>
      <c r="F95" s="2427"/>
      <c r="G95" s="2427"/>
      <c r="H95" s="242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15.999999999999993</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546</v>
      </c>
      <c r="C98" s="2399"/>
      <c r="D98" s="547" t="s">
        <v>1318</v>
      </c>
      <c r="E98" s="2410" t="s">
        <v>1726</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0.5173913043478261</v>
      </c>
      <c r="F103" s="2394"/>
      <c r="G103" s="2394"/>
      <c r="H103" s="239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0.14130434782608695</v>
      </c>
      <c r="F104" s="2394"/>
      <c r="G104" s="2394"/>
      <c r="H104" s="239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0.40217391304347827</v>
      </c>
      <c r="F105" s="2394"/>
      <c r="G105" s="2394"/>
      <c r="H105" s="239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1315</v>
      </c>
      <c r="AF112" s="2409"/>
      <c r="AG112" s="2409"/>
      <c r="AH112" s="2409"/>
      <c r="AI112" s="2409"/>
      <c r="AJ112" s="2409"/>
      <c r="AK112" s="2409"/>
      <c r="AL112" s="540"/>
      <c r="AM112" s="540"/>
      <c r="AN112" s="535"/>
      <c r="AO112" s="536" t="str">
        <f>Application!B718</f>
        <v>SRO/Studio</v>
      </c>
      <c r="AQ112" s="536">
        <f>Application!O718</f>
        <v>795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1590</v>
      </c>
    </row>
    <row r="115" spans="1:52" s="536" customFormat="1" ht="12.75" customHeight="1">
      <c r="A115" s="540"/>
      <c r="B115" s="2399" t="s">
        <v>546</v>
      </c>
      <c r="C115" s="2399"/>
      <c r="D115" s="547" t="s">
        <v>1316</v>
      </c>
      <c r="E115" s="2410" t="s">
        <v>1858</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SRO/Studio</v>
      </c>
      <c r="AQ115" s="536">
        <f>Application!O721</f>
        <v>795</v>
      </c>
      <c r="AU115" s="536" t="s">
        <v>1841</v>
      </c>
      <c r="AV115" s="595" t="s">
        <v>1842</v>
      </c>
      <c r="AW115" s="536" t="s">
        <v>1843</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SRO/Studio</v>
      </c>
      <c r="AQ116" s="536">
        <f>Application!O722</f>
        <v>1325</v>
      </c>
      <c r="AU116" s="856" t="str">
        <f>E124</f>
        <v>Studio/SRO</v>
      </c>
      <c r="AV116" s="536">
        <f t="array" ref="AV116">SUM(IF(Application!B718:F752="SRO/Studio",Application!G718:J752))</f>
        <v>83</v>
      </c>
      <c r="AW116" s="1011">
        <f>AV116/AV122</f>
        <v>0.90217391304347827</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SRO/Studio</v>
      </c>
      <c r="AQ117" s="536">
        <f>Application!O723</f>
        <v>1590</v>
      </c>
      <c r="AU117" s="856" t="str">
        <f>J124</f>
        <v>1-bedroom</v>
      </c>
      <c r="AV117" s="536">
        <f t="array" ref="AV117">SUM(IF(Application!B718:F752="1 Bedroom",Application!G718:J752))</f>
        <v>9</v>
      </c>
      <c r="AW117" s="1011">
        <f>AV117/AV122</f>
        <v>9.7826086956521743E-2</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SRO/Studio</v>
      </c>
      <c r="AQ118" s="536">
        <f>Application!O724</f>
        <v>795</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SRO/Studio</v>
      </c>
      <c r="AQ119" s="536">
        <f>Application!O725</f>
        <v>1325</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SRO/Studio</v>
      </c>
      <c r="AQ120" s="536">
        <f>Application!O726</f>
        <v>1590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SRO/Studio</v>
      </c>
      <c r="AQ121" s="536">
        <f>Application!O727</f>
        <v>795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SRO/Studio</v>
      </c>
      <c r="AQ122" s="536">
        <f>Application!O728</f>
        <v>1325</v>
      </c>
      <c r="AV122" s="536">
        <f>SUM(AV116:AV121)</f>
        <v>92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SRO/Studio</v>
      </c>
      <c r="AQ123" s="536">
        <f>Application!O729</f>
        <v>1590</v>
      </c>
    </row>
    <row r="124" spans="1:52" s="536" customFormat="1" ht="12.75" customHeight="1">
      <c r="A124" s="540"/>
      <c r="B124" s="539"/>
      <c r="C124" s="540"/>
      <c r="D124" s="540"/>
      <c r="E124" s="2393" t="s">
        <v>1589</v>
      </c>
      <c r="F124" s="2394"/>
      <c r="G124" s="2394"/>
      <c r="H124" s="2394"/>
      <c r="I124" s="577"/>
      <c r="J124" s="2394" t="s">
        <v>1632</v>
      </c>
      <c r="K124" s="2394"/>
      <c r="L124" s="2394"/>
      <c r="M124" s="2394"/>
      <c r="N124" s="577"/>
      <c r="O124" s="2394" t="s">
        <v>1633</v>
      </c>
      <c r="P124" s="2394"/>
      <c r="Q124" s="2394"/>
      <c r="R124" s="2394"/>
      <c r="S124" s="577"/>
      <c r="T124" s="2394" t="s">
        <v>1335</v>
      </c>
      <c r="U124" s="2394"/>
      <c r="V124" s="2394"/>
      <c r="W124" s="2394"/>
      <c r="X124" s="577"/>
      <c r="Y124" s="2394" t="s">
        <v>1634</v>
      </c>
      <c r="Z124" s="2394"/>
      <c r="AA124" s="2394"/>
      <c r="AB124" s="2394"/>
      <c r="AC124" s="577"/>
      <c r="AD124" s="2394" t="s">
        <v>1635</v>
      </c>
      <c r="AE124" s="2394"/>
      <c r="AF124" s="2394"/>
      <c r="AG124" s="2394"/>
      <c r="AH124" s="577"/>
      <c r="AI124" s="577"/>
      <c r="AJ124" s="579"/>
      <c r="AK124" s="540"/>
      <c r="AL124" s="540"/>
      <c r="AM124" s="540"/>
      <c r="AN124" s="535"/>
      <c r="AO124" s="536" t="str">
        <f>Application!B730</f>
        <v>SRO/Studio</v>
      </c>
      <c r="AQ124" s="536">
        <f>Application!O730</f>
        <v>795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SRO/Studio</v>
      </c>
      <c r="AQ125" s="536">
        <f>Application!O731</f>
        <v>1325</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SRO/Studio</v>
      </c>
      <c r="AQ126" s="536">
        <f>Application!O732</f>
        <v>1590</v>
      </c>
    </row>
    <row r="127" spans="1:52" s="536" customFormat="1" ht="12.75" customHeight="1">
      <c r="A127" s="540"/>
      <c r="B127" s="539"/>
      <c r="C127" s="540"/>
      <c r="D127" s="540"/>
      <c r="E127" s="2453">
        <v>1769</v>
      </c>
      <c r="F127" s="2454"/>
      <c r="G127" s="2454"/>
      <c r="H127" s="2454"/>
      <c r="I127" s="864"/>
      <c r="J127" s="2454">
        <v>2189</v>
      </c>
      <c r="K127" s="2454"/>
      <c r="L127" s="2454"/>
      <c r="M127" s="2454"/>
      <c r="N127" s="864"/>
      <c r="O127" s="2454"/>
      <c r="P127" s="2454"/>
      <c r="Q127" s="2454"/>
      <c r="R127" s="2454"/>
      <c r="S127" s="864"/>
      <c r="T127" s="2454"/>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t="str">
        <f>Application!B733</f>
        <v>1 Bedroom</v>
      </c>
      <c r="AQ127" s="536">
        <f>Application!O733</f>
        <v>852</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1 Bedroom</v>
      </c>
      <c r="AQ128" s="536">
        <f>Application!O734</f>
        <v>1420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1 Bedroom</v>
      </c>
      <c r="AQ129" s="536">
        <f>Application!O735</f>
        <v>1704</v>
      </c>
      <c r="AU129" s="1009"/>
      <c r="AV129" s="1009"/>
      <c r="AW129" s="1009"/>
      <c r="AX129" s="1009"/>
      <c r="AY129" s="1009"/>
      <c r="AZ129" s="1009"/>
    </row>
    <row r="130" spans="1:52" s="536" customFormat="1" ht="12.75" customHeight="1">
      <c r="A130" s="540"/>
      <c r="B130" s="539"/>
      <c r="C130" s="540"/>
      <c r="D130" s="540"/>
      <c r="E130" s="2446">
        <f>Application!DX670</f>
        <v>1388.8554216867469</v>
      </c>
      <c r="F130" s="2447"/>
      <c r="G130" s="2447"/>
      <c r="H130" s="2447"/>
      <c r="I130" s="864"/>
      <c r="J130" s="2447">
        <f>Application!EC670</f>
        <v>1293.7777777777778</v>
      </c>
      <c r="K130" s="2447"/>
      <c r="L130" s="2447"/>
      <c r="M130" s="2447"/>
      <c r="N130" s="864"/>
      <c r="O130" s="2447">
        <f>Application!EH670</f>
        <v>0</v>
      </c>
      <c r="P130" s="2447"/>
      <c r="Q130" s="2447"/>
      <c r="R130" s="2447"/>
      <c r="S130" s="868"/>
      <c r="T130" s="2447">
        <f>Application!EM670</f>
        <v>0</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t="str">
        <f>Application!B736</f>
        <v>1 Bedroom</v>
      </c>
      <c r="AQ130" s="536">
        <f>Application!O736</f>
        <v>852</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1 Bedroom</v>
      </c>
      <c r="AQ131" s="536">
        <f>Application!O737</f>
        <v>1420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1 Bedroom</v>
      </c>
      <c r="AQ132" s="536">
        <f>Application!O738</f>
        <v>852</v>
      </c>
      <c r="AU132" s="1009"/>
      <c r="AV132" s="1009"/>
      <c r="AW132" s="1010"/>
      <c r="AX132" s="1010"/>
      <c r="AY132" s="1009"/>
      <c r="AZ132" s="1009"/>
    </row>
    <row r="133" spans="1:52" s="536" customFormat="1" ht="12.75" customHeight="1">
      <c r="A133" s="540"/>
      <c r="B133" s="539"/>
      <c r="C133" s="540"/>
      <c r="D133" s="540"/>
      <c r="E133" s="2645">
        <f>(E127-E130)/E127</f>
        <v>0.21489235631048789</v>
      </c>
      <c r="F133" s="2396"/>
      <c r="G133" s="2396"/>
      <c r="H133" s="2646"/>
      <c r="I133" s="577"/>
      <c r="J133" s="2645">
        <f>(J127-J130)/J127</f>
        <v>0.40896401197908733</v>
      </c>
      <c r="K133" s="2396"/>
      <c r="L133" s="2396"/>
      <c r="M133" s="2646"/>
      <c r="N133" s="577"/>
      <c r="O133" s="2645" t="e">
        <f>(O127-O130)/O127</f>
        <v>#DIV/0!</v>
      </c>
      <c r="P133" s="2396"/>
      <c r="Q133" s="2396"/>
      <c r="R133" s="2646"/>
      <c r="S133" s="577"/>
      <c r="T133" s="2645" t="e">
        <f>(T127-T130)/T127</f>
        <v>#DIV/0!</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t="str">
        <f>Application!B739</f>
        <v>1 Bedroom</v>
      </c>
      <c r="AQ133" s="536">
        <f>Application!O739</f>
        <v>1420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f>IF(((E133-0.1)*AW116)&gt;0,((E133-0.1)*AW116),0)</f>
        <v>0.10365288667141842</v>
      </c>
      <c r="F136" s="2449"/>
      <c r="G136" s="2449"/>
      <c r="H136" s="2450"/>
      <c r="I136" s="577"/>
      <c r="J136" s="2448">
        <f>IF(((J133-0.1)*AW117)&gt;0,((J133-0.1)*AW117),0)</f>
        <v>3.022474030230202E-2</v>
      </c>
      <c r="K136" s="2449"/>
      <c r="L136" s="2449"/>
      <c r="M136" s="2450"/>
      <c r="N136" s="577"/>
      <c r="O136" s="2448" t="e">
        <f>IF(((O133-0.1)*AW118)&gt;0,((O133-0.1)*AW118),0)</f>
        <v>#DIV/0!</v>
      </c>
      <c r="P136" s="2449"/>
      <c r="Q136" s="2449"/>
      <c r="R136" s="2450"/>
      <c r="S136" s="577"/>
      <c r="T136" s="2448" t="e">
        <f>IF(((T133-0.1)*AW119)&gt;0,((T133-0.1)*AW119),0)</f>
        <v>#DIV/0!</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0.13</v>
      </c>
      <c r="F138" s="2396"/>
      <c r="G138" s="2396"/>
      <c r="H138" s="2646"/>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9" t="s">
        <v>1315</v>
      </c>
      <c r="AF146" s="2409"/>
      <c r="AG146" s="2409"/>
      <c r="AH146" s="2409"/>
      <c r="AI146" s="2409"/>
      <c r="AJ146" s="2409"/>
      <c r="AK146" s="2409"/>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1339</v>
      </c>
      <c r="AG148" s="2444"/>
      <c r="AH148" s="2444"/>
      <c r="AI148" s="2444"/>
      <c r="AJ148" s="2444"/>
      <c r="AK148" s="2444"/>
      <c r="AL148" s="2444"/>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2626</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1" t="s">
        <v>1342</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1342</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72" t="s">
        <v>592</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1" t="s">
        <v>1344</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2476</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2477</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2475</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546</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1353</v>
      </c>
      <c r="AG168" s="2444"/>
      <c r="AH168" s="2444"/>
      <c r="AI168" s="2444"/>
      <c r="AJ168" s="2444"/>
      <c r="AK168" s="2444"/>
      <c r="AL168" s="2444"/>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1351</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592</v>
      </c>
      <c r="AG172" s="2472"/>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1" t="s">
        <v>1344</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3" t="str">
        <f>Application!AA335</f>
        <v>HDSI Management</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1315</v>
      </c>
      <c r="AF186" s="2409"/>
      <c r="AG186" s="2409"/>
      <c r="AH186" s="2409"/>
      <c r="AI186" s="2409"/>
      <c r="AJ186" s="2409"/>
      <c r="AK186" s="240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9" t="s">
        <v>1361</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1364</v>
      </c>
      <c r="AG188" s="2444"/>
      <c r="AH188" s="2444"/>
      <c r="AI188" s="2444"/>
      <c r="AJ188" s="2444"/>
      <c r="AK188" s="2444"/>
      <c r="AL188" s="2444"/>
      <c r="AN188" s="597"/>
      <c r="AP188" s="550" t="s">
        <v>1044</v>
      </c>
      <c r="AQ188" s="550">
        <v>10</v>
      </c>
    </row>
    <row r="189" spans="1:73" s="550" customFormat="1" ht="12.75" customHeight="1">
      <c r="A189" s="536"/>
      <c r="B189" s="2470" t="s">
        <v>1727</v>
      </c>
      <c r="C189" s="2470"/>
      <c r="D189" s="2470"/>
      <c r="E189" s="2470"/>
      <c r="F189" s="2470"/>
      <c r="G189" s="2470"/>
      <c r="H189" s="2470"/>
      <c r="I189" s="2470"/>
      <c r="J189" s="2470"/>
      <c r="K189" s="2470"/>
      <c r="L189" s="2470"/>
      <c r="M189" s="2470"/>
      <c r="N189" s="2470"/>
      <c r="O189" s="2470"/>
      <c r="P189" s="2470"/>
      <c r="Q189" s="2470"/>
      <c r="R189" s="2470"/>
      <c r="S189" s="2470"/>
      <c r="T189" s="2445" t="s">
        <v>592</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9">
        <f>IF(AK84&gt;0,VLOOKUP($B$188,AP185:AQ191,2,FALSE),0)</f>
        <v>0</v>
      </c>
      <c r="AL191" s="2480"/>
      <c r="AM191" s="248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1373</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1628</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12958061.646383727</v>
      </c>
      <c r="AE209" s="2486"/>
      <c r="AF209" s="2486"/>
      <c r="AG209" s="2486"/>
      <c r="AH209" s="2486"/>
      <c r="AI209" s="2486"/>
      <c r="AJ209" s="2486"/>
      <c r="AK209" s="610"/>
    </row>
    <row r="210" spans="1:37">
      <c r="A210" s="605"/>
      <c r="B210" s="2613" t="s">
        <v>1591</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1">
        <f>SUM(AD199:AJ209)-AD210</f>
        <v>12958061.646383727</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1608</v>
      </c>
      <c r="J222" s="2460"/>
      <c r="K222" s="2460"/>
      <c r="L222" s="536"/>
      <c r="M222" s="536"/>
      <c r="N222" s="536"/>
      <c r="O222" s="536"/>
      <c r="P222" s="536"/>
      <c r="Q222" s="536"/>
      <c r="R222" s="536"/>
      <c r="S222" s="536"/>
      <c r="T222" s="2648" t="s">
        <v>1602</v>
      </c>
      <c r="U222" s="2648"/>
      <c r="V222" s="2648"/>
      <c r="W222" s="2648"/>
      <c r="X222" s="2648"/>
      <c r="Y222" s="2648"/>
      <c r="Z222" s="849"/>
      <c r="AA222" s="489"/>
      <c r="AB222" s="2455" t="s">
        <v>1603</v>
      </c>
      <c r="AC222" s="2455"/>
      <c r="AD222" s="2455"/>
      <c r="AE222" s="2455"/>
      <c r="AF222" s="2455"/>
      <c r="AG222" s="2455"/>
      <c r="AH222" s="827"/>
      <c r="AI222" s="827"/>
      <c r="AJ222" s="827"/>
      <c r="AK222" s="610"/>
    </row>
    <row r="223" spans="1:37">
      <c r="A223" s="605"/>
      <c r="B223" s="2458" t="s">
        <v>1588</v>
      </c>
      <c r="C223" s="2458"/>
      <c r="D223" s="2458"/>
      <c r="E223" s="2458"/>
      <c r="F223" s="2458"/>
      <c r="G223" s="2458"/>
      <c r="I223" s="2459" t="s">
        <v>1609</v>
      </c>
      <c r="J223" s="2459"/>
      <c r="K223" s="2459"/>
      <c r="L223" s="1008"/>
      <c r="N223" s="2465" t="s">
        <v>1604</v>
      </c>
      <c r="O223" s="2465"/>
      <c r="P223" s="2465"/>
      <c r="Q223" s="2465"/>
      <c r="R223" s="2465"/>
      <c r="T223" s="2465" t="s">
        <v>1605</v>
      </c>
      <c r="U223" s="2465"/>
      <c r="V223" s="2465"/>
      <c r="W223" s="2465"/>
      <c r="X223" s="2465"/>
      <c r="Y223" s="2465"/>
      <c r="Z223" s="850"/>
      <c r="AA223" s="489"/>
      <c r="AB223" s="2602" t="s">
        <v>1606</v>
      </c>
      <c r="AC223" s="2602"/>
      <c r="AD223" s="2602"/>
      <c r="AE223" s="2602"/>
      <c r="AF223" s="2602"/>
      <c r="AG223" s="2602"/>
      <c r="AH223" s="827"/>
      <c r="AI223" s="827"/>
      <c r="AJ223" s="827"/>
      <c r="AK223" s="610"/>
    </row>
    <row r="224" spans="1:37">
      <c r="A224" s="605"/>
      <c r="B224" s="2462" t="s">
        <v>324</v>
      </c>
      <c r="C224" s="2462"/>
      <c r="D224" s="2462"/>
      <c r="E224" s="2462"/>
      <c r="F224" s="2462"/>
      <c r="G224" s="2462"/>
      <c r="H224" s="852"/>
      <c r="I224" s="2461">
        <v>86</v>
      </c>
      <c r="J224" s="2461"/>
      <c r="K224" s="2461"/>
      <c r="L224" s="1008"/>
      <c r="N224" s="2466">
        <v>1060</v>
      </c>
      <c r="O224" s="2466"/>
      <c r="P224" s="2466"/>
      <c r="Q224" s="2466"/>
      <c r="R224" s="2466"/>
      <c r="T224" s="2614">
        <v>1654</v>
      </c>
      <c r="U224" s="2614"/>
      <c r="V224" s="2614"/>
      <c r="W224" s="2614"/>
      <c r="X224" s="2614"/>
      <c r="Y224" s="2614"/>
      <c r="Z224" s="851"/>
      <c r="AA224" s="851"/>
      <c r="AB224" s="2463">
        <f t="shared" ref="AB224:AB233" si="0">MAX(($T224-$N224)*$I224*12,0)</f>
        <v>613008</v>
      </c>
      <c r="AC224" s="2463"/>
      <c r="AD224" s="2463"/>
      <c r="AE224" s="2463"/>
      <c r="AF224" s="2463"/>
      <c r="AG224" s="2463"/>
      <c r="AH224" s="827"/>
      <c r="AI224" s="827"/>
      <c r="AJ224" s="827"/>
      <c r="AK224" s="610"/>
    </row>
    <row r="225" spans="1:37">
      <c r="A225" s="605"/>
      <c r="B225" s="2462" t="s">
        <v>2720</v>
      </c>
      <c r="C225" s="2462"/>
      <c r="D225" s="2462"/>
      <c r="E225" s="2462"/>
      <c r="F225" s="2462"/>
      <c r="G225" s="2462"/>
      <c r="I225" s="2461">
        <v>10</v>
      </c>
      <c r="J225" s="2461"/>
      <c r="K225" s="2461"/>
      <c r="L225" s="1008"/>
      <c r="N225" s="2466">
        <v>1136</v>
      </c>
      <c r="O225" s="2466"/>
      <c r="P225" s="2466"/>
      <c r="Q225" s="2466"/>
      <c r="R225" s="2466"/>
      <c r="T225" s="2614">
        <v>1829</v>
      </c>
      <c r="U225" s="2614"/>
      <c r="V225" s="2614"/>
      <c r="W225" s="2614"/>
      <c r="X225" s="2614"/>
      <c r="Y225" s="2614"/>
      <c r="Z225" s="851"/>
      <c r="AA225" s="851"/>
      <c r="AB225" s="2463">
        <f t="shared" si="0"/>
        <v>83160</v>
      </c>
      <c r="AC225" s="2463"/>
      <c r="AD225" s="2463"/>
      <c r="AE225" s="2463"/>
      <c r="AF225" s="2463"/>
      <c r="AG225" s="2463"/>
      <c r="AH225" s="827"/>
      <c r="AI225" s="827"/>
      <c r="AJ225" s="827"/>
      <c r="AK225" s="610"/>
    </row>
    <row r="226" spans="1:37">
      <c r="A226" s="605"/>
      <c r="B226" s="2462" t="s">
        <v>1185</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1185</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1185</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1185</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1185</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1185</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1185</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1185</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3">
        <f>SUM(AB224:AB233)</f>
        <v>696168</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v>696168</v>
      </c>
      <c r="AC240" s="2615"/>
      <c r="AD240" s="2615"/>
      <c r="AE240" s="2615"/>
      <c r="AF240" s="2615"/>
      <c r="AG240" s="2615"/>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696168</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1392336</v>
      </c>
      <c r="AC250" s="2463"/>
      <c r="AD250" s="2463"/>
      <c r="AE250" s="2463"/>
      <c r="AF250" s="2463"/>
      <c r="AG250" s="2463"/>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1322719.2</v>
      </c>
      <c r="AC252" s="2496"/>
      <c r="AD252" s="2496"/>
      <c r="AE252" s="2496"/>
      <c r="AF252" s="2496"/>
      <c r="AG252" s="2496"/>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1150190.6086956523</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12958061.646383727</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12958061.646383727</v>
      </c>
      <c r="AH268" s="2482"/>
      <c r="AI268" s="2482"/>
      <c r="AJ268" s="2482"/>
      <c r="AK268" s="2482"/>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41608812</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0.31</v>
      </c>
      <c r="AH270" s="2483"/>
      <c r="AI270" s="2483"/>
      <c r="AJ270" s="2483"/>
      <c r="AK270" s="2483"/>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4">
        <f>IFERROR(IF(AG270=0,0,IF((AG270*100)&gt;8,8,(AG270*100))),0)</f>
        <v>8</v>
      </c>
      <c r="AL273" s="2484"/>
      <c r="AM273" s="2485"/>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6" t="s">
        <v>546</v>
      </c>
      <c r="D278" s="2476"/>
      <c r="E278" s="547"/>
      <c r="F278" s="2633" t="s">
        <v>2025</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1364</v>
      </c>
      <c r="AH278" s="2477"/>
      <c r="AI278" s="2477"/>
      <c r="AJ278" s="2477"/>
      <c r="AK278" s="550"/>
      <c r="AL278" s="550"/>
      <c r="AM278" s="550"/>
      <c r="AO278" s="550"/>
    </row>
    <row r="279" spans="1:52" ht="13.65"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65"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4">
        <f>IF($C$278="yes",10,0)</f>
        <v>10</v>
      </c>
      <c r="AL285" s="2484"/>
      <c r="AM285" s="2485"/>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72" t="s">
        <v>592</v>
      </c>
      <c r="D292" s="2476"/>
      <c r="E292" s="547"/>
      <c r="F292" s="2504" t="s">
        <v>1384</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2018</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8" t="s">
        <v>2026</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1385</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1386</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6" t="s">
        <v>592</v>
      </c>
      <c r="D302" s="2476"/>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6" t="s">
        <v>2020</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6" t="s">
        <v>592</v>
      </c>
      <c r="D310" s="2476"/>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8" t="s">
        <v>2027</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1185</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1185</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4" t="s">
        <v>1185</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4" t="s">
        <v>1185</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6" t="s">
        <v>592</v>
      </c>
      <c r="D333" s="2476"/>
      <c r="E333" s="547"/>
      <c r="F333" s="2400" t="s">
        <v>2028</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9">
        <f>IF(NOT(OR(Application!M355="Yes",Application!M356="Yes")),0,AP295)</f>
        <v>0</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9" t="s">
        <v>1315</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1455</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45"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2093</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2208</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1456</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2"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85"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1457</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1458</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582</v>
      </c>
      <c r="AP361" s="696">
        <f>IF(C407="Yes",5,0)</f>
        <v>0</v>
      </c>
      <c r="AS361" s="539" t="s">
        <v>1879</v>
      </c>
    </row>
    <row r="362" spans="1:46" s="550" customFormat="1" ht="12.75" customHeight="1">
      <c r="A362" s="603"/>
      <c r="B362" s="611"/>
      <c r="C362" s="2540" t="s">
        <v>2232</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764</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585</v>
      </c>
      <c r="AP364" s="696">
        <f>IF(C421="Yes",5,0)</f>
        <v>0</v>
      </c>
    </row>
    <row r="365" spans="1:46" s="550" customFormat="1" ht="11.8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45"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8" t="s">
        <v>1459</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457</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462</v>
      </c>
      <c r="AP370" s="696">
        <f>IF(C449="Yes",5,0)</f>
        <v>0</v>
      </c>
    </row>
    <row r="371" spans="1:81" s="550" customFormat="1" ht="68.099999999999994"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647</v>
      </c>
      <c r="AP371" s="701">
        <f>IF(C453="Yes",5,0)</f>
        <v>0</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6">
        <f>Application!DU802-U374</f>
        <v>92</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1">
        <f>IF(AP375&gt;0,AP375,0)</f>
        <v>0</v>
      </c>
      <c r="AR375" s="25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2" t="s">
        <v>1461</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592</v>
      </c>
      <c r="D381" s="2476"/>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1463</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2" t="s">
        <v>1464</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592</v>
      </c>
      <c r="D389" s="2476"/>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1463</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2" t="s">
        <v>1466</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546</v>
      </c>
      <c r="D397" s="2476"/>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1468</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592</v>
      </c>
      <c r="D399" s="2476"/>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1463</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2" t="s">
        <v>1472</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592</v>
      </c>
      <c r="D407" s="2476"/>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1463</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546</v>
      </c>
      <c r="D409" s="2476"/>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1475</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592</v>
      </c>
      <c r="D412" s="2476"/>
      <c r="E412" s="715" t="s">
        <v>1476</v>
      </c>
      <c r="F412" s="2522" t="s">
        <v>1477</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1463</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2" t="s">
        <v>1479</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592</v>
      </c>
      <c r="D421" s="2476"/>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1463</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592</v>
      </c>
      <c r="D423" s="2476"/>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1475</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2" t="s">
        <v>1483</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45"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592</v>
      </c>
      <c r="D430" s="2476"/>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1463</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522" t="s">
        <v>1486</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592</v>
      </c>
      <c r="D442" s="2476"/>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1463</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2" t="s">
        <v>1489</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592</v>
      </c>
      <c r="D449" s="2476"/>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1463</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592</v>
      </c>
      <c r="D453" s="2526"/>
      <c r="E453" s="715" t="s">
        <v>1498</v>
      </c>
      <c r="F453" s="2522" t="s">
        <v>1499</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1463</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7"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592</v>
      </c>
      <c r="D457" s="2476"/>
      <c r="E457" s="715" t="s">
        <v>1504</v>
      </c>
      <c r="F457" s="2522" t="s">
        <v>1505</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1463</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2" t="s">
        <v>1508</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592</v>
      </c>
      <c r="D466" s="2476"/>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1463</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0" t="s">
        <v>1512</v>
      </c>
      <c r="AF472" s="2520"/>
      <c r="AG472" s="2520"/>
      <c r="AH472" s="2520"/>
      <c r="AI472" s="2520"/>
      <c r="AJ472" s="2520"/>
      <c r="AK472" s="2520"/>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5" t="s">
        <v>592</v>
      </c>
      <c r="D478" s="2546"/>
      <c r="E478" s="761" t="s">
        <v>508</v>
      </c>
      <c r="F478" s="2547" t="s">
        <v>1518</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1" t="s">
        <v>592</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2" t="s">
        <v>546</v>
      </c>
      <c r="D482" s="2623"/>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0" t="s">
        <v>592</v>
      </c>
      <c r="W485" s="2620"/>
      <c r="X485" s="2620"/>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0" t="s">
        <v>592</v>
      </c>
      <c r="W487" s="2620"/>
      <c r="X487" s="2620"/>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0" t="s">
        <v>592</v>
      </c>
      <c r="W492" s="2620"/>
      <c r="X492" s="2620"/>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0"/>
      <c r="E495" s="2610"/>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0" t="s">
        <v>592</v>
      </c>
      <c r="W496" s="2620"/>
      <c r="X496" s="2620"/>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0" t="s">
        <v>592</v>
      </c>
      <c r="W498" s="2620"/>
      <c r="X498" s="2620"/>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592</v>
      </c>
      <c r="D501" s="2546"/>
      <c r="E501" s="761" t="s">
        <v>508</v>
      </c>
      <c r="F501" s="2547" t="s">
        <v>1518</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592</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592</v>
      </c>
      <c r="D505" s="2546"/>
      <c r="E505" s="761" t="s">
        <v>758</v>
      </c>
      <c r="F505" s="2617" t="s">
        <v>1540</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592</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592</v>
      </c>
      <c r="D510" s="2546"/>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592</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592</v>
      </c>
      <c r="D515" s="2550"/>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592</v>
      </c>
      <c r="D519" s="2550"/>
      <c r="F519" s="795" t="s">
        <v>1548</v>
      </c>
      <c r="G519" s="2523" t="s">
        <v>1549</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592</v>
      </c>
      <c r="D523" s="2552"/>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592</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1561</v>
      </c>
      <c r="AF538" s="2409"/>
      <c r="AG538" s="2409"/>
      <c r="AH538" s="2409"/>
      <c r="AI538" s="2409"/>
      <c r="AJ538" s="2409"/>
      <c r="AK538" s="240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546</v>
      </c>
      <c r="D541" s="2476"/>
      <c r="E541" s="551"/>
      <c r="F541" s="2603" t="s">
        <v>1562</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592</v>
      </c>
      <c r="D544" s="2476"/>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1564</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1565</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42691472</v>
      </c>
      <c r="AQ550" s="2625"/>
      <c r="AR550" s="2625"/>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35043749</v>
      </c>
      <c r="AG551" s="2482"/>
      <c r="AH551" s="2482"/>
      <c r="AI551" s="2482"/>
      <c r="AJ551" s="2482"/>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71721672.959999993</v>
      </c>
      <c r="AG552" s="2630"/>
      <c r="AH552" s="2630"/>
      <c r="AI552" s="2630"/>
      <c r="AJ552" s="2630"/>
      <c r="AK552" s="595"/>
      <c r="AL552" s="595"/>
      <c r="AM552" s="595"/>
      <c r="AN552" s="597"/>
      <c r="AP552" s="2625">
        <f>Application!AJ1045</f>
        <v>17076588.800000001</v>
      </c>
      <c r="AQ552" s="2625"/>
      <c r="AR552" s="26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0.51</v>
      </c>
      <c r="AG553" s="2631"/>
      <c r="AH553" s="2631"/>
      <c r="AI553" s="2631"/>
      <c r="AJ553" s="2631"/>
      <c r="AK553" s="595"/>
      <c r="AL553" s="595"/>
      <c r="AM553" s="595"/>
      <c r="AN553" s="597"/>
      <c r="AP553" s="2628">
        <f>Application!AJ1049</f>
        <v>11953612.160000002</v>
      </c>
      <c r="AQ553" s="2628"/>
      <c r="AR553" s="262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0.68</v>
      </c>
      <c r="AQ554" s="2624"/>
      <c r="AR554" s="2624"/>
      <c r="AS554" s="550" t="s">
        <v>2172</v>
      </c>
    </row>
    <row r="555" spans="1:49" s="550" customFormat="1" ht="12.75" customHeight="1">
      <c r="A555" s="624"/>
      <c r="B555" s="2561" t="s">
        <v>2032</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42691471.999999993</v>
      </c>
      <c r="AQ556" s="2534"/>
      <c r="AR556" s="2534"/>
      <c r="AS556" s="550" t="s">
        <v>2174</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71721672.959999993</v>
      </c>
      <c r="AQ557" s="2625"/>
      <c r="AR557" s="262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0">
        <f>IFERROR(IF(AND(C541="N/A",C544="N/A"),0,IF(AF553=0,0,IF((AF553*100)&gt;12,12,(AF553*100)))),0)</f>
        <v>12</v>
      </c>
      <c r="AL559" s="2570"/>
      <c r="AM559" s="2571"/>
      <c r="AN559" s="597"/>
      <c r="AP559" s="2642">
        <f>AP556+(AP550*AP554)</f>
        <v>71721672.959999993</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1315</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2023</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1339</v>
      </c>
      <c r="AG578" s="2444"/>
      <c r="AH578" s="2444"/>
      <c r="AI578" s="2444"/>
      <c r="AJ578" s="2444"/>
      <c r="AK578" s="2444"/>
      <c r="AL578" s="2444"/>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1397</v>
      </c>
      <c r="AG585" s="2444"/>
      <c r="AH585" s="2444"/>
      <c r="AI585" s="2444"/>
      <c r="AJ585" s="2444"/>
      <c r="AK585" s="2444"/>
      <c r="AL585" s="2444"/>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1379</v>
      </c>
      <c r="AG591" s="2444"/>
      <c r="AH591" s="2444"/>
      <c r="AI591" s="2444"/>
      <c r="AJ591" s="2444"/>
      <c r="AK591" s="2444"/>
      <c r="AL591" s="2444"/>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1400</v>
      </c>
      <c r="AG597" s="2444"/>
      <c r="AH597" s="2444"/>
      <c r="AI597" s="2444"/>
      <c r="AJ597" s="2444"/>
      <c r="AK597" s="2444"/>
      <c r="AL597" s="2444"/>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0" t="s">
        <v>1185</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1353</v>
      </c>
      <c r="AG603" s="2444"/>
      <c r="AH603" s="2444"/>
      <c r="AI603" s="2444"/>
      <c r="AJ603" s="2444"/>
      <c r="AK603" s="2444"/>
      <c r="AL603" s="2444"/>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8" t="s">
        <v>510</v>
      </c>
      <c r="I606" s="2528"/>
      <c r="J606" s="936"/>
      <c r="K606" s="936"/>
      <c r="L606" s="936"/>
      <c r="N606" s="22"/>
      <c r="O606" s="22"/>
      <c r="P606" s="22"/>
      <c r="Q606" s="1151" t="s">
        <v>2177</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9" t="s">
        <v>592</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2" t="s">
        <v>592</v>
      </c>
      <c r="C616" s="2472"/>
      <c r="D616" s="642"/>
      <c r="E616" s="2499" t="s">
        <v>1404</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9">
        <f>VLOOKUP($H$606,$AO$586:$AP$591,2,FALSE)+IF(R606=AO594,0,VLOOKUP($I$614,$AO$613:$AP$615,2,FALSE))</f>
        <v>6</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7" t="s">
        <v>1695</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1353</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2" t="s">
        <v>592</v>
      </c>
      <c r="Y634" s="2472"/>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1409</v>
      </c>
      <c r="AG636" s="2444"/>
      <c r="AH636" s="2444"/>
      <c r="AI636" s="2444"/>
      <c r="AJ636" s="2444"/>
      <c r="AK636" s="2444"/>
      <c r="AL636" s="244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8" t="s">
        <v>688</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9">
        <f>VLOOKUP($H$638,$AO$605:$AP$607,2,FALSE)</f>
        <v>3</v>
      </c>
      <c r="AK640" s="248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9" t="s">
        <v>2098</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1353</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1409</v>
      </c>
      <c r="AG647" s="2444"/>
      <c r="AH647" s="2444"/>
      <c r="AI647" s="2444"/>
      <c r="AJ647" s="2444"/>
      <c r="AK647" s="2444"/>
      <c r="AL647" s="2444"/>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8" t="s">
        <v>592</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9" t="s">
        <v>1419</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1379</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9" t="s">
        <v>1420</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1400</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9" t="s">
        <v>1421</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1353</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592</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9" t="s">
        <v>1422</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1400</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9" t="s">
        <v>1423</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1353</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9" t="s">
        <v>1424</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1409</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9" t="s">
        <v>1425</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1426</v>
      </c>
      <c r="AG681" s="2444"/>
      <c r="AH681" s="2444"/>
      <c r="AI681" s="2444"/>
      <c r="AJ681" s="2444"/>
      <c r="AK681" s="2444"/>
      <c r="AL681" s="2444"/>
      <c r="AM681" s="596"/>
      <c r="AN681" s="597"/>
      <c r="AO681" s="611" t="s">
        <v>688</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8" t="s">
        <v>688</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9">
        <f>VLOOKUP($H$685,$AO$633:$AP$640,2,FALSE)</f>
        <v>5</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92</v>
      </c>
    </row>
    <row r="691" spans="1:51" s="550" customFormat="1" ht="12.75" customHeight="1">
      <c r="A691" s="679"/>
      <c r="B691" s="536"/>
      <c r="C691" s="948"/>
      <c r="D691" s="663" t="s">
        <v>688</v>
      </c>
      <c r="E691" s="2535" t="s">
        <v>2190</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1353</v>
      </c>
      <c r="AG691" s="2444"/>
      <c r="AH691" s="2444"/>
      <c r="AI691" s="2444"/>
      <c r="AJ691" s="2444"/>
      <c r="AK691" s="2444"/>
      <c r="AL691" s="2444"/>
      <c r="AN691" s="597"/>
      <c r="AW691" s="22" t="s">
        <v>2185</v>
      </c>
      <c r="AX691" s="550">
        <f>Application!DE753</f>
        <v>0</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9" t="s">
        <v>2134</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1353</v>
      </c>
      <c r="AG694" s="2444"/>
      <c r="AH694" s="2444"/>
      <c r="AI694" s="2444"/>
      <c r="AJ694" s="2444"/>
      <c r="AK694" s="2444"/>
      <c r="AL694" s="2444"/>
      <c r="AN694" s="597"/>
      <c r="AW694" s="22" t="s">
        <v>2188</v>
      </c>
      <c r="AX694" s="550">
        <f>AX691+AX692+AX693</f>
        <v>0</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0</v>
      </c>
      <c r="AP695" s="2534"/>
      <c r="AW695" s="22" t="s">
        <v>2189</v>
      </c>
      <c r="AX695" s="550">
        <f>IFERROR(AX694/AX690,0)</f>
        <v>0</v>
      </c>
      <c r="AY695" s="550">
        <f>IFERROR(AX694/(AX690-AX689),0)</f>
        <v>0</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9" t="s">
        <v>2135</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1409</v>
      </c>
      <c r="AG699" s="2444"/>
      <c r="AH699" s="2444"/>
      <c r="AI699" s="2444"/>
      <c r="AJ699" s="2444"/>
      <c r="AK699" s="2444"/>
      <c r="AL699" s="2444"/>
      <c r="AN699" s="597"/>
      <c r="AO699" s="611" t="s">
        <v>510</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9" t="s">
        <v>1694</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8" t="s">
        <v>592</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9">
        <f>VLOOKUP($H$709,$AO$703:$AP$706,2,FALSE)</f>
        <v>0</v>
      </c>
      <c r="AK711" s="248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6" t="s">
        <v>1696</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1353</v>
      </c>
      <c r="AG715" s="2444"/>
      <c r="AH715" s="2444"/>
      <c r="AI715" s="2444"/>
      <c r="AJ715" s="2444"/>
      <c r="AK715" s="2444"/>
      <c r="AL715" s="2444"/>
      <c r="AM715" s="550"/>
      <c r="AN715" s="684"/>
      <c r="AP715" s="570" t="s">
        <v>1433</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37" t="s">
        <v>1436</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1409</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528" t="s">
        <v>592</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9" t="s">
        <v>1697</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1353</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9" t="s">
        <v>1440</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1409</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8" t="s">
        <v>592</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9" t="s">
        <v>1443</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1353</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9" t="s">
        <v>1444</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1409</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8" t="s">
        <v>688</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9">
        <f>VLOOKUP($H$751,$AO$680:$AP$682,2,FALSE)</f>
        <v>3</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9" t="s">
        <v>1446</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1409</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9" t="s">
        <v>1447</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1426</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8" t="s">
        <v>688</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9">
        <f>VLOOKUP($H$763,$AO$697:$AP$699,2,FALSE)</f>
        <v>2</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99" t="s">
        <v>1693</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1409</v>
      </c>
      <c r="AG769" s="2444"/>
      <c r="AH769" s="2444"/>
      <c r="AI769" s="2444"/>
      <c r="AJ769" s="2444"/>
      <c r="AK769" s="2444"/>
      <c r="AL769" s="2444"/>
      <c r="AM769" s="613"/>
      <c r="AN769" s="684"/>
      <c r="AO769" s="550" t="s">
        <v>592</v>
      </c>
      <c r="AP769" s="673">
        <v>0</v>
      </c>
    </row>
    <row r="770" spans="1:81" s="570" customFormat="1" ht="13.65"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8" t="s">
        <v>1698</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1353</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8" t="s">
        <v>592</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99" t="s">
        <v>2033</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1353</v>
      </c>
      <c r="AG785" s="2444"/>
      <c r="AH785" s="2444"/>
      <c r="AI785" s="2444"/>
      <c r="AJ785" s="2444"/>
      <c r="AK785" s="2444"/>
      <c r="AL785" s="2444"/>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8" t="s">
        <v>592</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1569</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1570</v>
      </c>
      <c r="U802" s="2576"/>
      <c r="V802" s="2576"/>
      <c r="W802" s="2576"/>
      <c r="X802" s="2576"/>
      <c r="Y802" s="2577"/>
      <c r="Z802" s="2575" t="s">
        <v>1571</v>
      </c>
      <c r="AA802" s="2576"/>
      <c r="AB802" s="2576"/>
      <c r="AC802" s="2576"/>
      <c r="AD802" s="2576"/>
      <c r="AE802" s="2577"/>
      <c r="AF802" s="2575" t="s">
        <v>1572</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758</v>
      </c>
      <c r="B804" s="2555" t="s">
        <v>1305</v>
      </c>
      <c r="C804" s="2555"/>
      <c r="D804" s="2555"/>
      <c r="E804" s="2555"/>
      <c r="F804" s="2555"/>
      <c r="G804" s="2555"/>
      <c r="H804" s="2555"/>
      <c r="I804" s="2555"/>
      <c r="J804" s="2555"/>
      <c r="K804" s="2555"/>
      <c r="L804" s="2555"/>
      <c r="M804" s="2555"/>
      <c r="N804" s="2555"/>
      <c r="O804" s="2555"/>
      <c r="P804" s="2555"/>
      <c r="Q804" s="2555"/>
      <c r="R804" s="2555"/>
      <c r="S804" s="2556"/>
      <c r="T804" s="2557">
        <f>AK62</f>
        <v>20</v>
      </c>
      <c r="U804" s="2558"/>
      <c r="V804" s="2558"/>
      <c r="W804" s="2558"/>
      <c r="X804" s="2558"/>
      <c r="Y804" s="2559"/>
      <c r="Z804" s="2560">
        <v>20</v>
      </c>
      <c r="AA804" s="2558"/>
      <c r="AB804" s="2558"/>
      <c r="AC804" s="2558"/>
      <c r="AD804" s="2558"/>
      <c r="AE804" s="2559"/>
      <c r="AF804" s="2541">
        <f>IF(T804&gt;Z804,Z804,T804)</f>
        <v>20</v>
      </c>
      <c r="AG804" s="2541"/>
      <c r="AH804" s="2541"/>
      <c r="AI804" s="2541"/>
      <c r="AJ804" s="2541"/>
      <c r="AK804" s="2541"/>
      <c r="AL804" s="818"/>
      <c r="AM804" s="596"/>
      <c r="AO804" s="816"/>
      <c r="AP804" s="816"/>
      <c r="AQ804" s="816"/>
    </row>
    <row r="805" spans="1:81">
      <c r="A805" s="819" t="s">
        <v>1542</v>
      </c>
      <c r="B805" s="2555" t="s">
        <v>1314</v>
      </c>
      <c r="C805" s="2555"/>
      <c r="D805" s="2555"/>
      <c r="E805" s="2555"/>
      <c r="F805" s="2555"/>
      <c r="G805" s="2555"/>
      <c r="H805" s="2555"/>
      <c r="I805" s="2555"/>
      <c r="J805" s="2555"/>
      <c r="K805" s="2555"/>
      <c r="L805" s="2555"/>
      <c r="M805" s="2555"/>
      <c r="N805" s="2555"/>
      <c r="O805" s="2555"/>
      <c r="P805" s="2555"/>
      <c r="Q805" s="2555"/>
      <c r="R805" s="2555"/>
      <c r="S805" s="2556"/>
      <c r="T805" s="2557">
        <f>AK84</f>
        <v>0</v>
      </c>
      <c r="U805" s="2558"/>
      <c r="V805" s="2558"/>
      <c r="W805" s="2558"/>
      <c r="X805" s="2558"/>
      <c r="Y805" s="2559"/>
      <c r="Z805" s="2560">
        <v>10</v>
      </c>
      <c r="AA805" s="2558"/>
      <c r="AB805" s="2558"/>
      <c r="AC805" s="2558"/>
      <c r="AD805" s="2558"/>
      <c r="AE805" s="2559"/>
      <c r="AF805" s="2541">
        <f>IF(T805&gt;Z805,Z805,T805)</f>
        <v>0</v>
      </c>
      <c r="AG805" s="2541"/>
      <c r="AH805" s="2541"/>
      <c r="AI805" s="2541"/>
      <c r="AJ805" s="2541"/>
      <c r="AK805" s="2541"/>
      <c r="AL805" s="818"/>
      <c r="AM805" s="596"/>
      <c r="AO805" s="816"/>
      <c r="AP805" s="816"/>
      <c r="AQ805" s="816"/>
    </row>
    <row r="806" spans="1:81">
      <c r="A806" s="819" t="s">
        <v>1551</v>
      </c>
      <c r="B806" s="2555" t="s">
        <v>1324</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1573</v>
      </c>
      <c r="B807" s="2555" t="s">
        <v>1334</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1574</v>
      </c>
      <c r="B808" s="2555" t="s">
        <v>1575</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1576</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1577</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1362</v>
      </c>
      <c r="B811" s="2555" t="s">
        <v>1578</v>
      </c>
      <c r="C811" s="2555"/>
      <c r="D811" s="2555"/>
      <c r="E811" s="2555"/>
      <c r="F811" s="2555"/>
      <c r="G811" s="2555"/>
      <c r="H811" s="2555"/>
      <c r="I811" s="2555"/>
      <c r="J811" s="2555"/>
      <c r="K811" s="2555"/>
      <c r="L811" s="2555"/>
      <c r="M811" s="2555"/>
      <c r="N811" s="2555"/>
      <c r="O811" s="2555"/>
      <c r="P811" s="2555"/>
      <c r="Q811" s="2555"/>
      <c r="R811" s="2555"/>
      <c r="S811" s="2556"/>
      <c r="T811" s="2581">
        <f>AK191</f>
        <v>0</v>
      </c>
      <c r="U811" s="2581"/>
      <c r="V811" s="2581"/>
      <c r="W811" s="2581"/>
      <c r="X811" s="2581"/>
      <c r="Y811" s="2581"/>
      <c r="Z811" s="2541">
        <v>10</v>
      </c>
      <c r="AA811" s="2541"/>
      <c r="AB811" s="2541"/>
      <c r="AC811" s="2541"/>
      <c r="AD811" s="2541"/>
      <c r="AE811" s="2541"/>
      <c r="AF811" s="2541">
        <f>IF(T811&gt;Z811,Z811,T811)</f>
        <v>0</v>
      </c>
      <c r="AG811" s="2541"/>
      <c r="AH811" s="2541"/>
      <c r="AI811" s="2541"/>
      <c r="AJ811" s="2541"/>
      <c r="AK811" s="2541"/>
      <c r="AL811" s="818"/>
      <c r="AM811" s="596"/>
    </row>
    <row r="812" spans="1:81">
      <c r="A812" s="819" t="s">
        <v>1371</v>
      </c>
      <c r="B812" s="2555" t="s">
        <v>1372</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590</v>
      </c>
      <c r="B813" s="2555" t="s">
        <v>1579</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5" t="s">
        <v>1580</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5" t="s">
        <v>1382</v>
      </c>
      <c r="C815" s="2555"/>
      <c r="D815" s="2555"/>
      <c r="E815" s="2555"/>
      <c r="F815" s="2555"/>
      <c r="G815" s="2555"/>
      <c r="H815" s="2555"/>
      <c r="I815" s="2555"/>
      <c r="J815" s="2555"/>
      <c r="K815" s="2555"/>
      <c r="L815" s="2555"/>
      <c r="M815" s="2555"/>
      <c r="N815" s="2555"/>
      <c r="O815" s="2555"/>
      <c r="P815" s="2555"/>
      <c r="Q815" s="2555"/>
      <c r="R815" s="2555"/>
      <c r="S815" s="2556"/>
      <c r="T815" s="2581">
        <f>AK338</f>
        <v>0</v>
      </c>
      <c r="U815" s="2581"/>
      <c r="V815" s="2581"/>
      <c r="W815" s="2581"/>
      <c r="X815" s="2581"/>
      <c r="Y815" s="2581"/>
      <c r="Z815" s="2587">
        <v>10</v>
      </c>
      <c r="AA815" s="2588"/>
      <c r="AB815" s="2588"/>
      <c r="AC815" s="2588"/>
      <c r="AD815" s="2588"/>
      <c r="AE815" s="2589"/>
      <c r="AF815" s="2587">
        <f>IF(T815&gt;Z815,Z815,T815)</f>
        <v>0</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4">
        <f>AK338</f>
        <v>0</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5" t="s">
        <v>846</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5" t="s">
        <v>1560</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5" t="s">
        <v>1582</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1583</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1584</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90" t="s">
        <v>1585</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110</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Phillip Curls</cp:lastModifiedBy>
  <cp:lastPrinted>2025-09-05T04:05:52Z</cp:lastPrinted>
  <dcterms:created xsi:type="dcterms:W3CDTF">2007-12-27T18:26:28Z</dcterms:created>
  <dcterms:modified xsi:type="dcterms:W3CDTF">2025-09-09T21:57:55Z</dcterms:modified>
</cp:coreProperties>
</file>